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5480" windowHeight="11640" tabRatio="283" activeTab="0"/>
  </bookViews>
  <sheets>
    <sheet name="Mondial2006" sheetId="1" r:id="rId1"/>
    <sheet name="Group Points" sheetId="2" state="hidden" r:id="rId2"/>
  </sheets>
  <definedNames>
    <definedName name="A1_Against">'Mondial2006'!$E$7,'Mondial2006'!$E$9,'Mondial2006'!$D$11</definedName>
    <definedName name="A1_Played">'Mondial2006'!$D$7,'Mondial2006'!$D$9,'Mondial2006'!$E$11</definedName>
    <definedName name="A2_Against">'Mondial2006'!$D$7,'Mondial2006'!$E$12,'Mondial2006'!$D$10</definedName>
    <definedName name="A2_Played">'Mondial2006'!$E$7,'Mondial2006'!$E$10,'Mondial2006'!$D$12</definedName>
    <definedName name="A3_Against">'Mondial2006'!$D$9,'Mondial2006'!$E$8,'Mondial2006'!$D$12</definedName>
    <definedName name="A3_Played">'Mondial2006'!$D$8,'Mondial2006'!$E$9,'Mondial2006'!$E$12</definedName>
    <definedName name="A4_Against">'Mondial2006'!$D$8,'Mondial2006'!$E$10,'Mondial2006'!$E$11</definedName>
    <definedName name="A4_Played">'Mondial2006'!$E$8,'Mondial2006'!$D$10,'Mondial2006'!$D$11</definedName>
    <definedName name="B1_Against">'Mondial2006'!$E$13,'Mondial2006'!$E$15,'Mondial2006'!$D$17</definedName>
    <definedName name="B1_Played">'Mondial2006'!$D$13,'Mondial2006'!$D$15,'Mondial2006'!$E$17</definedName>
    <definedName name="B2_Against">'Mondial2006'!$D$15,'Mondial2006'!$D$16,'Mondial2006'!$E$18</definedName>
    <definedName name="B2_Played">'Mondial2006'!$E$15,'Mondial2006'!$E$16,'Mondial2006'!$D$18</definedName>
    <definedName name="B3_Against">'Mondial2006'!$D$13,'Mondial2006'!$E$14,'Mondial2006'!$D$18</definedName>
    <definedName name="B3_Played">'Mondial2006'!$E$13,'Mondial2006'!$D$14,'Mondial2006'!$E$18</definedName>
    <definedName name="B4_Against">'Mondial2006'!$D$14,'Mondial2006'!$E$16,'Mondial2006'!$E$17</definedName>
    <definedName name="B4_Played">'Mondial2006'!$E$14,'Mondial2006'!$D$16,'Mondial2006'!$D$17</definedName>
    <definedName name="CC1_Against">'Mondial2006'!$E$19,'Mondial2006'!$E$21,'Mondial2006'!$D$23</definedName>
    <definedName name="CC1_Played">'Mondial2006'!$D$19,'Mondial2006'!$D$21,'Mondial2006'!$E$23</definedName>
    <definedName name="CC2_Against">'Mondial2006'!$D$19,'Mondial2006'!$D$22,'Mondial2006'!$E$24</definedName>
    <definedName name="CC2_Played">'Mondial2006'!$E$22,'Mondial2006'!$E$19,'Mondial2006'!$D$24</definedName>
    <definedName name="CC3_Against">'Mondial2006'!$D$21,'Mondial2006'!$E$20,'Mondial2006'!$D$24</definedName>
    <definedName name="CC3_Played">'Mondial2006'!$D$20,'Mondial2006'!$E$24,'Mondial2006'!$E$21</definedName>
    <definedName name="CC4_Against">'Mondial2006'!$D$20,'Mondial2006'!$E$22,'Mondial2006'!$E$23</definedName>
    <definedName name="CC4_Played">'Mondial2006'!$E$20,'Mondial2006'!$D$22,'Mondial2006'!$D$23</definedName>
    <definedName name="D1_Against">'Mondial2006'!$E$25,'Mondial2006'!$E$27,'Mondial2006'!$D$29</definedName>
    <definedName name="D1_Played">'Mondial2006'!$D$25,'Mondial2006'!$D$27,'Mondial2006'!$E$29</definedName>
    <definedName name="D2_Against">'Mondial2006'!$D$25,'Mondial2006'!$D$28,'Mondial2006'!$E$30</definedName>
    <definedName name="D2_Played">'Mondial2006'!$E$25,'Mondial2006'!$D$30,'Mondial2006'!$E$28</definedName>
    <definedName name="D3_Against">'Mondial2006'!$E$26,'Mondial2006'!$D$27,'Mondial2006'!$D$30</definedName>
    <definedName name="D3_Played">'Mondial2006'!$D$26,'Mondial2006'!$E$27,'Mondial2006'!$E$30</definedName>
    <definedName name="D4_Against">'Mondial2006'!$D$26,'Mondial2006'!$E$28,'Mondial2006'!$E$29</definedName>
    <definedName name="D4_Played">'Mondial2006'!$D$29,'Mondial2006'!$D$28,'Mondial2006'!$E$26</definedName>
    <definedName name="Drawpoints">'Group Points'!$B$5</definedName>
    <definedName name="E1_Against">'Mondial2006'!$E$35,'Mondial2006'!$E$36,'Mondial2006'!$D$38</definedName>
    <definedName name="E1_Played">'Mondial2006'!$D$35,'Mondial2006'!$D$36,'Mondial2006'!$E$38</definedName>
    <definedName name="E2_Against">'Mondial2006'!$D$35,'Mondial2006'!$D$37,'Mondial2006'!$E$39</definedName>
    <definedName name="E2_Played">'Mondial2006'!$D$39,'Mondial2006'!$E$37,'Mondial2006'!$E$35</definedName>
    <definedName name="E3_Against">'Mondial2006'!$E$34,'Mondial2006'!$D$36,'Mondial2006'!$D$39</definedName>
    <definedName name="E3_Played">'Mondial2006'!$D$34,'Mondial2006'!$E$36,'Mondial2006'!$E$39</definedName>
    <definedName name="E4_Against">'Mondial2006'!$D$34,'Mondial2006'!$E$37,'Mondial2006'!$E$38</definedName>
    <definedName name="E4_Played">'Mondial2006'!$E$34,'Mondial2006'!$D$37,'Mondial2006'!$D$38</definedName>
    <definedName name="F1_Against">'Mondial2006'!$E$41,'Mondial2006'!$E$43,'Mondial2006'!$D$44</definedName>
    <definedName name="F1_Played">'Mondial2006'!$D$41,'Mondial2006'!$E$44,'Mondial2006'!$D$43</definedName>
    <definedName name="F2_Against">'Mondial2006'!$D$41,'Mondial2006'!$D$42,'Mondial2006'!$E$45</definedName>
    <definedName name="F2_Played">'Mondial2006'!$E$41,'Mondial2006'!$E$42,'Mondial2006'!$D$45</definedName>
    <definedName name="F3_Against">'Mondial2006'!$E$40,'Mondial2006'!$D$43,'Mondial2006'!$D$45</definedName>
    <definedName name="F3_Played">'Mondial2006'!$D$40,'Mondial2006'!$E$43,'Mondial2006'!$E$45</definedName>
    <definedName name="F4_Against">'Mondial2006'!$D$40,'Mondial2006'!$E$42,'Mondial2006'!$E$44</definedName>
    <definedName name="F4_Played">'Mondial2006'!$E$40,'Mondial2006'!$D$42,'Mondial2006'!$D$44</definedName>
    <definedName name="G1_Against">'Mondial2006'!$E$47,'Mondial2006'!$E$48,'Mondial2006'!$D$50</definedName>
    <definedName name="G1_Played">'Mondial2006'!$D$47,'Mondial2006'!$D$48,'Mondial2006'!$E$50</definedName>
    <definedName name="G2_Against">'Mondial2006'!$D$47,'Mondial2006'!$D$49,'Mondial2006'!$E$51</definedName>
    <definedName name="G2_Played">'Mondial2006'!$E$47,'Mondial2006'!$E$49,'Mondial2006'!$D$51</definedName>
    <definedName name="G3_Against">'Mondial2006'!$E$46,'Mondial2006'!$D$48,'Mondial2006'!$D$51</definedName>
    <definedName name="G3_Played">'Mondial2006'!$D$46,'Mondial2006'!$E$48,'Mondial2006'!$E$51</definedName>
    <definedName name="G4_Against">'Mondial2006'!$D$46,'Mondial2006'!$E$49,'Mondial2006'!$E$50</definedName>
    <definedName name="G4_Played">'Mondial2006'!$E$46,'Mondial2006'!$D$49,'Mondial2006'!$D$50</definedName>
    <definedName name="Groupstage_Losers">'Mondial2006'!$J$7:$J$57</definedName>
    <definedName name="Groupstage_Winners">'Mondial2006'!$I$7:$I$57</definedName>
    <definedName name="H1_Against">'Mondial2006'!$E$52,'Mondial2006'!$E$54,'Mondial2006'!$D$56</definedName>
    <definedName name="H1_Played">'Mondial2006'!$D$52,'Mondial2006'!$D$54,'Mondial2006'!$E$56</definedName>
    <definedName name="H2_Against">'Mondial2006'!$D$52,'Mondial2006'!$D$55,'Mondial2006'!$E$57</definedName>
    <definedName name="H2_Played">'Mondial2006'!$E$52,'Mondial2006'!$E$55,'Mondial2006'!$D$57</definedName>
    <definedName name="H3_Against">'Mondial2006'!$E$53,'Mondial2006'!$D$54,'Mondial2006'!$D$57</definedName>
    <definedName name="H3_Played">'Mondial2006'!$D$53,'Mondial2006'!$E$54,'Mondial2006'!$E$57</definedName>
    <definedName name="H4_Against">'Mondial2006'!$D$53,'Mondial2006'!$E$55,'Mondial2006'!$E$56</definedName>
    <definedName name="H4_Played">'Mondial2006'!$E$53,'Mondial2006'!$D$55,'Mondial2006'!$D$56</definedName>
    <definedName name="Winpoints">'Group Points'!$B$4</definedName>
    <definedName name="_xlnm.Print_Area" localSheetId="0">'Mondial2006'!$A$1:$T$58,'Mondial2006'!$A$60:$T$103</definedName>
  </definedNames>
  <calcPr fullCalcOnLoad="1"/>
</workbook>
</file>

<file path=xl/sharedStrings.xml><?xml version="1.0" encoding="utf-8"?>
<sst xmlns="http://schemas.openxmlformats.org/spreadsheetml/2006/main" count="436" uniqueCount="135">
  <si>
    <t>B</t>
  </si>
  <si>
    <t>D</t>
  </si>
  <si>
    <t>A</t>
  </si>
  <si>
    <t>C</t>
  </si>
  <si>
    <t>Winner</t>
  </si>
  <si>
    <t>Group A</t>
  </si>
  <si>
    <t>Played</t>
  </si>
  <si>
    <t>F</t>
  </si>
  <si>
    <t>GD</t>
  </si>
  <si>
    <t>Points</t>
  </si>
  <si>
    <t>W</t>
  </si>
  <si>
    <t>L</t>
  </si>
  <si>
    <t>Loser</t>
  </si>
  <si>
    <t>Groupstage</t>
  </si>
  <si>
    <t>Points for a win</t>
  </si>
  <si>
    <t>Points for a draw</t>
  </si>
  <si>
    <t>Group B</t>
  </si>
  <si>
    <t>Group C</t>
  </si>
  <si>
    <t>Group D</t>
  </si>
  <si>
    <t>Points Sort 1</t>
  </si>
  <si>
    <t>Team</t>
  </si>
  <si>
    <t>Points Sort 2</t>
  </si>
  <si>
    <t>Points Sort 3</t>
  </si>
  <si>
    <t>GD Sort 1</t>
  </si>
  <si>
    <t>GD Sort 2</t>
  </si>
  <si>
    <t>GD Sort 3</t>
  </si>
  <si>
    <t>F Sort 1</t>
  </si>
  <si>
    <t>F Sort 2</t>
  </si>
  <si>
    <t>F Sort 3</t>
  </si>
  <si>
    <t>P</t>
  </si>
  <si>
    <t>Pts</t>
  </si>
  <si>
    <t>Date</t>
  </si>
  <si>
    <t>Gp</t>
  </si>
  <si>
    <t>Group E</t>
  </si>
  <si>
    <t>Group F</t>
  </si>
  <si>
    <t>Group G</t>
  </si>
  <si>
    <t>Group H</t>
  </si>
  <si>
    <t>E</t>
  </si>
  <si>
    <t>G</t>
  </si>
  <si>
    <t>H</t>
  </si>
  <si>
    <t>Third Place Winner:</t>
  </si>
  <si>
    <t>Timezones</t>
  </si>
  <si>
    <t>GMT 0</t>
  </si>
  <si>
    <t>GMT 3</t>
  </si>
  <si>
    <t>GMT 4</t>
  </si>
  <si>
    <t>GMT 5</t>
  </si>
  <si>
    <t>GMT 6</t>
  </si>
  <si>
    <t>GMT 7</t>
  </si>
  <si>
    <t>GMT 8</t>
  </si>
  <si>
    <t>GMT 10</t>
  </si>
  <si>
    <t>GMT 11</t>
  </si>
  <si>
    <t>GMT 12</t>
  </si>
  <si>
    <t>GMT -2</t>
  </si>
  <si>
    <t>GMT -11</t>
  </si>
  <si>
    <t>GMT -10</t>
  </si>
  <si>
    <t>GMT -9</t>
  </si>
  <si>
    <t>GMT -8</t>
  </si>
  <si>
    <t>GMT -7</t>
  </si>
  <si>
    <t>GMT -6</t>
  </si>
  <si>
    <t>GMT -5</t>
  </si>
  <si>
    <t>GMT -4</t>
  </si>
  <si>
    <t>GMT -3</t>
  </si>
  <si>
    <t>Kick Off</t>
  </si>
  <si>
    <t>Local Time</t>
  </si>
  <si>
    <t>GMT -1</t>
  </si>
  <si>
    <t>Munich</t>
  </si>
  <si>
    <t>Gelsenkirchen</t>
  </si>
  <si>
    <t>Dortmund</t>
  </si>
  <si>
    <t>Hambourg</t>
  </si>
  <si>
    <t>Berlin</t>
  </si>
  <si>
    <t>Hanovre</t>
  </si>
  <si>
    <t>Francfort</t>
  </si>
  <si>
    <t>Nuremberg</t>
  </si>
  <si>
    <t>Cologne</t>
  </si>
  <si>
    <t>Kaiserslautern</t>
  </si>
  <si>
    <t>Leipzig</t>
  </si>
  <si>
    <t>Stuttgart</t>
  </si>
  <si>
    <t>Kaiserlautern</t>
  </si>
  <si>
    <t>Heure</t>
  </si>
  <si>
    <t>Ville</t>
  </si>
  <si>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</si>
  <si>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</si>
  <si>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</si>
  <si>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</si>
  <si>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</si>
  <si>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</si>
  <si>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</si>
  <si>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</si>
  <si>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Huitièmes de finale</t>
  </si>
  <si>
    <t>Quarts de finale</t>
  </si>
  <si>
    <t>Demi-finales</t>
  </si>
  <si>
    <t>Rencontres du 1er tour</t>
  </si>
  <si>
    <t xml:space="preserve"> Allemagne </t>
  </si>
  <si>
    <t xml:space="preserve"> Costa-Rica </t>
  </si>
  <si>
    <t xml:space="preserve"> Pologne </t>
  </si>
  <si>
    <t xml:space="preserve"> Equateur </t>
  </si>
  <si>
    <t xml:space="preserve"> Angleterre </t>
  </si>
  <si>
    <t xml:space="preserve"> Paraguay </t>
  </si>
  <si>
    <t xml:space="preserve"> Trinitad et Tobago </t>
  </si>
  <si>
    <t xml:space="preserve"> Suède </t>
  </si>
  <si>
    <t xml:space="preserve"> Argentine </t>
  </si>
  <si>
    <t xml:space="preserve"> Cote d'Ivoire </t>
  </si>
  <si>
    <t xml:space="preserve"> Serbie-Montenegro </t>
  </si>
  <si>
    <t xml:space="preserve"> Pays-Bas </t>
  </si>
  <si>
    <t xml:space="preserve"> Mexique </t>
  </si>
  <si>
    <t xml:space="preserve"> Iran </t>
  </si>
  <si>
    <t xml:space="preserve"> Angola </t>
  </si>
  <si>
    <t xml:space="preserve"> Portugal </t>
  </si>
  <si>
    <t xml:space="preserve"> Italie </t>
  </si>
  <si>
    <t xml:space="preserve"> Ghana </t>
  </si>
  <si>
    <t xml:space="preserve"> Etats-Unis </t>
  </si>
  <si>
    <t xml:space="preserve"> République Tchèque </t>
  </si>
  <si>
    <t xml:space="preserve"> Brésil </t>
  </si>
  <si>
    <t xml:space="preserve"> Australie </t>
  </si>
  <si>
    <t xml:space="preserve"> Croatie </t>
  </si>
  <si>
    <t xml:space="preserve"> Japon </t>
  </si>
  <si>
    <t xml:space="preserve"> France </t>
  </si>
  <si>
    <t xml:space="preserve"> Suisse </t>
  </si>
  <si>
    <t xml:space="preserve"> Corée du Sud </t>
  </si>
  <si>
    <t xml:space="preserve"> Togo </t>
  </si>
  <si>
    <t xml:space="preserve"> Espagne </t>
  </si>
  <si>
    <t xml:space="preserve"> Ukraine </t>
  </si>
  <si>
    <t xml:space="preserve"> Tunisie </t>
  </si>
  <si>
    <t xml:space="preserve"> Arabie Saoudite </t>
  </si>
  <si>
    <t>GMT 1</t>
  </si>
  <si>
    <t xml:space="preserve">GMT 9 </t>
  </si>
  <si>
    <t>Sélectionnez votre zone horaire (GMT 2 pour France et RFA)</t>
  </si>
  <si>
    <t>GMT 2 France</t>
  </si>
  <si>
    <t>Mondial 2006 - Allemagne Tableau des résultats actualisés</t>
  </si>
  <si>
    <t>Feuille de calcul EXCEL interactive</t>
  </si>
  <si>
    <t>Le vainqueur  est:</t>
  </si>
  <si>
    <t>Match pour la 3ème place</t>
  </si>
  <si>
    <t>FINALE</t>
  </si>
  <si>
    <t xml:space="preserve"> </t>
  </si>
  <si>
    <t>Mise à jour le 18 juin 2006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</si>
</sst>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_);\(&quot;£&quot;#,##0\)"/>
    <numFmt numFmtId="181" formatCode="&quot;£&quot;#,##0_);[Red]\(&quot;£&quot;#,##0\)"/>
    <numFmt numFmtId="182" formatCode="&quot;£&quot;#,##0.00_);\(&quot;£&quot;#,##0.00\)"/>
    <numFmt numFmtId="183" formatCode="&quot;£&quot;#,##0.00_);[Red]\(&quot;£&quot;#,##0.00\)"/>
    <numFmt numFmtId="184" formatCode="_(&quot;£&quot;* #,##0_);_(&quot;£&quot;* \(#,##0\);_(&quot;£&quot;* &quot;-&quot;_);_(@_)"/>
    <numFmt numFmtId="185" formatCode="_(&quot;£&quot;* #,##0.00_);_(&quot;£&quot;* \(#,##0.00\);_(&quot;£&quot;* &quot;-&quot;??_);_(@_)"/>
    <numFmt numFmtId="186" formatCode="0000"/>
    <numFmt numFmtId="187" formatCode="@@@@"/>
    <numFmt numFmtId="188" formatCode="0.0"/>
    <numFmt numFmtId="189" formatCode="d"/>
    <numFmt numFmtId="190" formatCode="dd"/>
    <numFmt numFmtId="191" formatCode="mm"/>
    <numFmt numFmtId="192" formatCode="mmm"/>
    <numFmt numFmtId="193" formatCode="0;0;"/>
    <numFmt numFmtId="194" formatCode="0;0;0;"/>
    <numFmt numFmtId="195" formatCode="0.0;0.0;0.0;"/>
    <numFmt numFmtId="196" formatCode="0.00;0.00;0.00;"/>
    <numFmt numFmtId="197" formatCode="0.00;0.00;"/>
    <numFmt numFmtId="198" formatCode="0;0\:"/>
    <numFmt numFmtId="199" formatCode="0.00;\-0.00;"/>
    <numFmt numFmtId="200" formatCode="0.00;\-0.00"/>
    <numFmt numFmtId="201" formatCode="0.000;\-0.000"/>
    <numFmt numFmtId="202" formatCode="0.0000;\-0.0000"/>
    <numFmt numFmtId="203" formatCode="h:mm"/>
    <numFmt numFmtId="204" formatCode="dd\-mmm\ hh:mm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7"/>
      <name val="Verdana"/>
      <family val="2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b/>
      <u val="single"/>
      <sz val="14"/>
      <color indexed="53"/>
      <name val="Verdana"/>
      <family val="2"/>
    </font>
    <font>
      <sz val="10"/>
      <color indexed="49"/>
      <name val="Verdana"/>
      <family val="2"/>
    </font>
    <font>
      <b/>
      <i/>
      <sz val="14"/>
      <color indexed="4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2" fontId="0" fillId="0" borderId="0" xfId="0" applyNumberFormat="1" applyAlignment="1">
      <alignment/>
    </xf>
    <xf numFmtId="16" fontId="3" fillId="0" borderId="0" xfId="0" applyNumberFormat="1" applyFont="1" applyBorder="1" applyAlignment="1" applyProtection="1">
      <alignment/>
      <protection hidden="1"/>
    </xf>
    <xf numFmtId="20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/>
      <protection hidden="1"/>
    </xf>
    <xf numFmtId="0" fontId="4" fillId="3" borderId="2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right"/>
      <protection hidden="1"/>
    </xf>
    <xf numFmtId="0" fontId="5" fillId="0" borderId="5" xfId="0" applyFont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204" fontId="3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6" xfId="0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0" fontId="3" fillId="0" borderId="0" xfId="0" applyNumberFormat="1" applyFont="1" applyAlignment="1" applyProtection="1">
      <alignment/>
      <protection hidden="1"/>
    </xf>
    <xf numFmtId="17" fontId="3" fillId="0" borderId="0" xfId="0" applyNumberFormat="1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6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2" borderId="2" xfId="0" applyFont="1" applyFill="1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/>
      <protection hidden="1"/>
    </xf>
    <xf numFmtId="0" fontId="3" fillId="0" borderId="9" xfId="0" applyFont="1" applyBorder="1" applyAlignment="1" applyProtection="1">
      <alignment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locked="0"/>
    </xf>
    <xf numFmtId="22" fontId="3" fillId="0" borderId="0" xfId="0" applyNumberFormat="1" applyFont="1" applyBorder="1" applyAlignment="1" applyProtection="1">
      <alignment/>
      <protection hidden="1"/>
    </xf>
    <xf numFmtId="22" fontId="3" fillId="0" borderId="0" xfId="0" applyNumberFormat="1" applyFont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right"/>
      <protection hidden="1"/>
    </xf>
    <xf numFmtId="0" fontId="5" fillId="0" borderId="12" xfId="0" applyFont="1" applyBorder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/>
      <protection locked="0"/>
    </xf>
    <xf numFmtId="0" fontId="2" fillId="5" borderId="2" xfId="0" applyFont="1" applyFill="1" applyBorder="1" applyAlignment="1" applyProtection="1">
      <alignment/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3" xfId="0" applyFont="1" applyFill="1" applyBorder="1" applyAlignment="1" applyProtection="1">
      <alignment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847725</xdr:colOff>
      <xdr:row>0</xdr:row>
      <xdr:rowOff>247650</xdr:rowOff>
    </xdr:from>
    <xdr:to>
      <xdr:col>12</xdr:col>
      <xdr:colOff>142875</xdr:colOff>
      <xdr:row>2</xdr:row>
      <xdr:rowOff>133350</xdr:rowOff>
    </xdr:to>
    <xdr:pic>
      <xdr:nvPicPr>
        <xdr:cNvPr id="1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47650"/>
          <a:ext cx="73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85</xdr:row>
      <xdr:rowOff>9525</xdr:rowOff>
    </xdr:from>
    <xdr:to>
      <xdr:col>18</xdr:col>
      <xdr:colOff>85725</xdr:colOff>
      <xdr:row>97</xdr:row>
      <xdr:rowOff>171450</xdr:rowOff>
    </xdr:to>
    <xdr:pic>
      <xdr:nvPicPr>
        <xdr:cNvPr id="2" name="Picture 7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5821025"/>
          <a:ext cx="22288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247650</xdr:rowOff>
    </xdr:from>
    <xdr:to>
      <xdr:col>2</xdr:col>
      <xdr:colOff>971550</xdr:colOff>
      <xdr:row>2</xdr:row>
      <xdr:rowOff>133350</xdr:rowOff>
    </xdr:to>
    <xdr:pic>
      <xdr:nvPicPr>
        <xdr:cNvPr id="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47650"/>
          <a:ext cx="73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02"/>
  <sheetViews>
    <sheetView showGridLines="0" tabSelected="1" workbookViewId="0" topLeftCell="A22">
      <selection activeCell="G48" sqref="G48"/>
    </sheetView>
  </sheetViews>
  <sheetFormatPr defaultColWidth="11.421875" defaultRowHeight="12.75"/>
  <cols>
    <col min="1" max="2" width="9.140625" style="6" customWidth="1"/>
    <col min="3" max="3" width="21.57421875" style="7" bestFit="1" customWidth="1"/>
    <col min="4" max="4" width="3.00390625" style="7" customWidth="1"/>
    <col min="5" max="5" width="3.00390625" style="6" customWidth="1"/>
    <col min="6" max="6" width="21.57421875" style="7" bestFit="1" customWidth="1"/>
    <col min="7" max="7" width="14.140625" style="6" bestFit="1" customWidth="1"/>
    <col min="8" max="8" width="4.421875" style="6" customWidth="1"/>
    <col min="9" max="9" width="10.8515625" style="6" hidden="1" customWidth="1"/>
    <col min="10" max="10" width="9.140625" style="6" hidden="1" customWidth="1"/>
    <col min="11" max="11" width="5.7109375" style="6" customWidth="1"/>
    <col min="12" max="12" width="21.57421875" style="32" bestFit="1" customWidth="1"/>
    <col min="13" max="16" width="2.421875" style="45" customWidth="1"/>
    <col min="17" max="18" width="3.28125" style="32" customWidth="1"/>
    <col min="19" max="19" width="3.7109375" style="32" customWidth="1"/>
    <col min="20" max="20" width="3.8515625" style="6" bestFit="1" customWidth="1"/>
    <col min="21" max="21" width="7.28125" style="6" customWidth="1"/>
    <col min="22" max="22" width="20.00390625" style="6" customWidth="1"/>
    <col min="23" max="23" width="9.140625" style="6" customWidth="1"/>
    <col min="24" max="24" width="2.8515625" style="6" customWidth="1"/>
    <col min="25" max="25" width="2.00390625" style="6" customWidth="1"/>
    <col min="26" max="26" width="2.28125" style="6" customWidth="1"/>
    <col min="27" max="27" width="2.140625" style="6" customWidth="1"/>
    <col min="28" max="28" width="2.28125" style="6" customWidth="1"/>
    <col min="29" max="29" width="3.7109375" style="6" customWidth="1"/>
    <col min="30" max="30" width="6.28125" style="6" customWidth="1"/>
    <col min="31" max="73" width="9.140625" style="6" customWidth="1"/>
    <col min="74" max="74" width="7.8515625" style="6" customWidth="1"/>
    <col min="75" max="75" width="9.140625" style="6" customWidth="1"/>
    <col min="76" max="76" width="18.140625" style="6" customWidth="1"/>
    <col min="77" max="82" width="9.140625" style="6" customWidth="1"/>
    <col min="83" max="83" width="9.8515625" style="6" customWidth="1"/>
    <col min="84" max="16384" width="9.140625" style="6" customWidth="1"/>
  </cols>
  <sheetData>
    <row r="1" spans="3:19" s="33" customFormat="1" ht="69.75" customHeight="1">
      <c r="C1" s="34"/>
      <c r="D1" s="68" t="s">
        <v>128</v>
      </c>
      <c r="E1" s="68"/>
      <c r="F1" s="68"/>
      <c r="G1" s="68"/>
      <c r="H1" s="68"/>
      <c r="I1" s="68"/>
      <c r="J1" s="68"/>
      <c r="K1" s="68"/>
      <c r="L1" s="36"/>
      <c r="M1" s="35"/>
      <c r="N1" s="35"/>
      <c r="O1" s="35"/>
      <c r="P1" s="35"/>
      <c r="Q1" s="36"/>
      <c r="R1" s="36"/>
      <c r="S1" s="36"/>
    </row>
    <row r="2" spans="3:74" s="33" customFormat="1" ht="14.25" customHeight="1">
      <c r="C2" s="34"/>
      <c r="D2" s="58" t="s">
        <v>129</v>
      </c>
      <c r="F2" s="34"/>
      <c r="L2" s="36"/>
      <c r="M2" s="35"/>
      <c r="N2" s="35"/>
      <c r="O2" s="35"/>
      <c r="P2" s="35"/>
      <c r="Q2" s="36"/>
      <c r="R2" s="36"/>
      <c r="S2" s="36"/>
      <c r="BU2" s="35"/>
      <c r="BV2" s="35"/>
    </row>
    <row r="3" spans="3:74" s="33" customFormat="1" ht="33" customHeight="1">
      <c r="C3" s="34"/>
      <c r="D3" s="34"/>
      <c r="F3" s="64" t="s">
        <v>134</v>
      </c>
      <c r="I3" s="33" t="s">
        <v>4</v>
      </c>
      <c r="J3" s="33" t="s">
        <v>12</v>
      </c>
      <c r="L3" s="36"/>
      <c r="M3" s="35"/>
      <c r="N3" s="35"/>
      <c r="O3" s="46"/>
      <c r="P3" s="35"/>
      <c r="Q3" s="36"/>
      <c r="R3" s="36"/>
      <c r="S3" s="36"/>
      <c r="AE3" s="33" t="s">
        <v>19</v>
      </c>
      <c r="AG3" s="33" t="s">
        <v>21</v>
      </c>
      <c r="AI3" s="33" t="s">
        <v>22</v>
      </c>
      <c r="AL3" s="33" t="s">
        <v>23</v>
      </c>
      <c r="AO3" s="33" t="s">
        <v>24</v>
      </c>
      <c r="AR3" s="33" t="s">
        <v>25</v>
      </c>
      <c r="AV3" s="33" t="s">
        <v>26</v>
      </c>
      <c r="AZ3" s="33" t="s">
        <v>27</v>
      </c>
      <c r="BD3" s="33" t="s">
        <v>28</v>
      </c>
      <c r="BU3" s="35"/>
      <c r="BV3" s="35"/>
    </row>
    <row r="4" spans="1:77" ht="15">
      <c r="A4" s="65" t="s">
        <v>91</v>
      </c>
      <c r="B4" s="66"/>
      <c r="C4" s="66"/>
      <c r="D4" s="66"/>
      <c r="E4" s="66"/>
      <c r="F4" s="66"/>
      <c r="G4" s="66"/>
      <c r="H4" s="67"/>
      <c r="L4" s="37" t="s">
        <v>80</v>
      </c>
      <c r="M4" s="43"/>
      <c r="N4" s="43"/>
      <c r="O4" s="43"/>
      <c r="P4" s="43"/>
      <c r="Q4" s="38"/>
      <c r="R4" s="38"/>
      <c r="S4" s="38"/>
      <c r="T4" s="9"/>
      <c r="BU4" s="32"/>
      <c r="BX4" s="6" t="s">
        <v>62</v>
      </c>
      <c r="BY4" s="32" t="s">
        <v>126</v>
      </c>
    </row>
    <row r="5" spans="1:76" ht="15">
      <c r="A5" s="10" t="s">
        <v>31</v>
      </c>
      <c r="B5" s="11" t="s">
        <v>78</v>
      </c>
      <c r="C5" s="12"/>
      <c r="D5" s="12"/>
      <c r="E5" s="12"/>
      <c r="F5" s="12"/>
      <c r="G5" s="12" t="s">
        <v>79</v>
      </c>
      <c r="H5" s="13" t="s">
        <v>32</v>
      </c>
      <c r="L5" s="39"/>
      <c r="M5" s="42" t="s">
        <v>29</v>
      </c>
      <c r="N5" s="42" t="s">
        <v>10</v>
      </c>
      <c r="O5" s="42" t="s">
        <v>11</v>
      </c>
      <c r="P5" s="42" t="s">
        <v>1</v>
      </c>
      <c r="Q5" s="14" t="s">
        <v>7</v>
      </c>
      <c r="R5" s="14" t="s">
        <v>2</v>
      </c>
      <c r="S5" s="14" t="s">
        <v>8</v>
      </c>
      <c r="T5" s="15" t="s">
        <v>30</v>
      </c>
      <c r="BX5" s="6" t="s">
        <v>63</v>
      </c>
    </row>
    <row r="6" spans="1:22" ht="13.5" thickBot="1">
      <c r="A6" s="16"/>
      <c r="B6" s="16"/>
      <c r="C6" s="17"/>
      <c r="D6" s="17"/>
      <c r="E6" s="17"/>
      <c r="F6" s="17"/>
      <c r="G6" s="17"/>
      <c r="H6" s="17"/>
      <c r="L6" s="40" t="str">
        <f>BK8</f>
        <v> Equateur </v>
      </c>
      <c r="M6" s="21">
        <f aca="true" t="shared" si="0" ref="M6:T9">BL8</f>
        <v>2</v>
      </c>
      <c r="N6" s="21">
        <f t="shared" si="0"/>
        <v>2</v>
      </c>
      <c r="O6" s="21">
        <f t="shared" si="0"/>
        <v>0</v>
      </c>
      <c r="P6" s="21">
        <f t="shared" si="0"/>
        <v>0</v>
      </c>
      <c r="Q6" s="18">
        <f t="shared" si="0"/>
        <v>5</v>
      </c>
      <c r="R6" s="18">
        <f t="shared" si="0"/>
        <v>0</v>
      </c>
      <c r="S6" s="18">
        <f t="shared" si="0"/>
        <v>5</v>
      </c>
      <c r="T6" s="53">
        <f t="shared" si="0"/>
        <v>6</v>
      </c>
      <c r="V6" s="6" t="s">
        <v>5</v>
      </c>
    </row>
    <row r="7" spans="1:83" ht="13.5" thickBot="1">
      <c r="A7" s="2">
        <f>BX7+(VLOOKUP('Group Points'!$E$2,'Group Points'!$D$4:$E$27,2)/24)</f>
        <v>38877.75</v>
      </c>
      <c r="B7" s="3">
        <f>BX7+(VLOOKUP('Group Points'!$E$2,'Group Points'!$D$4:$E$27,2)/24)</f>
        <v>38877.75</v>
      </c>
      <c r="C7" s="4" t="str">
        <f>$V$8</f>
        <v> Allemagne </v>
      </c>
      <c r="D7" s="49">
        <v>4</v>
      </c>
      <c r="E7" s="50">
        <v>2</v>
      </c>
      <c r="F7" s="19" t="str">
        <f>$V$9</f>
        <v> Costa-Rica </v>
      </c>
      <c r="G7" s="20" t="s">
        <v>65</v>
      </c>
      <c r="H7" s="21" t="s">
        <v>2</v>
      </c>
      <c r="I7" s="6" t="str">
        <f aca="true" t="shared" si="1" ref="I7:I30">IF(D7&lt;&gt;"",IF(D7&gt;E7,C7,IF(E7&gt;D7,F7,"Draw")),"")</f>
        <v> Allemagne </v>
      </c>
      <c r="J7" s="6" t="str">
        <f aca="true" t="shared" si="2" ref="J7:J30">IF(D7&lt;&gt;"",IF(D7&lt;E7,C7,IF(E7&lt;D7,F7,"Draw")),"")</f>
        <v> Costa-Rica </v>
      </c>
      <c r="L7" s="40" t="str">
        <f>BK9</f>
        <v> Allemagne </v>
      </c>
      <c r="M7" s="21">
        <f t="shared" si="0"/>
        <v>2</v>
      </c>
      <c r="N7" s="21">
        <f t="shared" si="0"/>
        <v>2</v>
      </c>
      <c r="O7" s="21">
        <f t="shared" si="0"/>
        <v>0</v>
      </c>
      <c r="P7" s="21">
        <f t="shared" si="0"/>
        <v>0</v>
      </c>
      <c r="Q7" s="18">
        <f t="shared" si="0"/>
        <v>5</v>
      </c>
      <c r="R7" s="18">
        <f t="shared" si="0"/>
        <v>2</v>
      </c>
      <c r="S7" s="18">
        <f t="shared" si="0"/>
        <v>3</v>
      </c>
      <c r="T7" s="53">
        <f t="shared" si="0"/>
        <v>6</v>
      </c>
      <c r="W7" s="6" t="s">
        <v>6</v>
      </c>
      <c r="X7" s="6" t="s">
        <v>10</v>
      </c>
      <c r="Y7" s="6" t="s">
        <v>11</v>
      </c>
      <c r="Z7" s="6" t="s">
        <v>1</v>
      </c>
      <c r="AA7" s="6" t="s">
        <v>7</v>
      </c>
      <c r="AB7" s="6" t="s">
        <v>2</v>
      </c>
      <c r="AC7" s="6" t="s">
        <v>8</v>
      </c>
      <c r="AD7" s="6" t="s">
        <v>9</v>
      </c>
      <c r="AE7" s="6" t="s">
        <v>20</v>
      </c>
      <c r="AF7" s="6" t="s">
        <v>9</v>
      </c>
      <c r="AG7" s="6" t="s">
        <v>20</v>
      </c>
      <c r="AH7" s="6" t="s">
        <v>9</v>
      </c>
      <c r="AI7" s="6" t="s">
        <v>20</v>
      </c>
      <c r="AJ7" s="6" t="s">
        <v>9</v>
      </c>
      <c r="AK7" s="6" t="s">
        <v>8</v>
      </c>
      <c r="AL7" s="6" t="s">
        <v>20</v>
      </c>
      <c r="AM7" s="6" t="s">
        <v>9</v>
      </c>
      <c r="AN7" s="6" t="s">
        <v>8</v>
      </c>
      <c r="AO7" s="6" t="s">
        <v>20</v>
      </c>
      <c r="AP7" s="6" t="s">
        <v>9</v>
      </c>
      <c r="AQ7" s="6" t="s">
        <v>8</v>
      </c>
      <c r="AR7" s="6" t="s">
        <v>20</v>
      </c>
      <c r="AS7" s="6" t="s">
        <v>9</v>
      </c>
      <c r="AT7" s="6" t="s">
        <v>8</v>
      </c>
      <c r="AU7" s="6" t="s">
        <v>7</v>
      </c>
      <c r="AV7" s="6" t="s">
        <v>20</v>
      </c>
      <c r="AW7" s="6" t="s">
        <v>9</v>
      </c>
      <c r="AX7" s="6" t="s">
        <v>8</v>
      </c>
      <c r="AY7" s="6" t="s">
        <v>7</v>
      </c>
      <c r="AZ7" s="6" t="s">
        <v>20</v>
      </c>
      <c r="BA7" s="6" t="s">
        <v>9</v>
      </c>
      <c r="BB7" s="6" t="s">
        <v>8</v>
      </c>
      <c r="BC7" s="6" t="s">
        <v>7</v>
      </c>
      <c r="BD7" s="6" t="s">
        <v>20</v>
      </c>
      <c r="BE7" s="6" t="s">
        <v>9</v>
      </c>
      <c r="BF7" s="6" t="s">
        <v>8</v>
      </c>
      <c r="BG7" s="6" t="s">
        <v>7</v>
      </c>
      <c r="BL7" s="6" t="s">
        <v>29</v>
      </c>
      <c r="BM7" s="6" t="s">
        <v>10</v>
      </c>
      <c r="BN7" s="6" t="s">
        <v>11</v>
      </c>
      <c r="BO7" s="6" t="s">
        <v>1</v>
      </c>
      <c r="BP7" s="6" t="s">
        <v>7</v>
      </c>
      <c r="BQ7" s="6" t="s">
        <v>2</v>
      </c>
      <c r="BR7" s="6" t="s">
        <v>8</v>
      </c>
      <c r="BS7" s="6" t="s">
        <v>9</v>
      </c>
      <c r="BX7" s="47">
        <v>38877.666666666664</v>
      </c>
      <c r="BY7" s="22"/>
      <c r="CA7" s="3"/>
      <c r="CE7" s="23"/>
    </row>
    <row r="8" spans="1:83" ht="13.5" thickBot="1">
      <c r="A8" s="2">
        <f>BX8+(VLOOKUP('Group Points'!$E$2,'Group Points'!$D$4:$E$27,2)/24)</f>
        <v>38877.875</v>
      </c>
      <c r="B8" s="3">
        <f>BX8+(VLOOKUP('Group Points'!$E$2,'Group Points'!$D$4:$E$27,2)/24)</f>
        <v>38877.875</v>
      </c>
      <c r="C8" s="4" t="str">
        <f>$V$10</f>
        <v> Pologne </v>
      </c>
      <c r="D8" s="49">
        <v>0</v>
      </c>
      <c r="E8" s="50">
        <v>2</v>
      </c>
      <c r="F8" s="19" t="str">
        <f>$V$11</f>
        <v> Equateur </v>
      </c>
      <c r="G8" s="20" t="s">
        <v>66</v>
      </c>
      <c r="H8" s="21" t="s">
        <v>2</v>
      </c>
      <c r="I8" s="6" t="str">
        <f t="shared" si="1"/>
        <v> Equateur </v>
      </c>
      <c r="J8" s="6" t="str">
        <f t="shared" si="2"/>
        <v> Pologne </v>
      </c>
      <c r="L8" s="40" t="str">
        <f>BK10</f>
        <v> Pologne </v>
      </c>
      <c r="M8" s="21">
        <f t="shared" si="0"/>
        <v>2</v>
      </c>
      <c r="N8" s="21">
        <f t="shared" si="0"/>
        <v>0</v>
      </c>
      <c r="O8" s="21">
        <f t="shared" si="0"/>
        <v>2</v>
      </c>
      <c r="P8" s="21">
        <f t="shared" si="0"/>
        <v>0</v>
      </c>
      <c r="Q8" s="18">
        <f t="shared" si="0"/>
        <v>0</v>
      </c>
      <c r="R8" s="18">
        <f t="shared" si="0"/>
        <v>3</v>
      </c>
      <c r="S8" s="18">
        <f t="shared" si="0"/>
        <v>-3</v>
      </c>
      <c r="T8" s="53">
        <f t="shared" si="0"/>
        <v>0</v>
      </c>
      <c r="V8" s="6" t="s">
        <v>92</v>
      </c>
      <c r="W8" s="6">
        <f>COUNT(A1_Played)</f>
        <v>2</v>
      </c>
      <c r="X8" s="6">
        <f>COUNTIF(Groupstage_Winners,V8)</f>
        <v>2</v>
      </c>
      <c r="Y8" s="6">
        <f>COUNTIF(Groupstage_Losers,V8)</f>
        <v>0</v>
      </c>
      <c r="Z8" s="6">
        <f>W8-(X8+Y8)</f>
        <v>0</v>
      </c>
      <c r="AA8" s="6">
        <f>SUM(A1_Played)</f>
        <v>5</v>
      </c>
      <c r="AB8" s="6">
        <f>SUM(A1_Against)</f>
        <v>2</v>
      </c>
      <c r="AC8" s="6">
        <f>AA8-AB8</f>
        <v>3</v>
      </c>
      <c r="AD8" s="6">
        <f>X8*Winpoints+Z8*Drawpoints</f>
        <v>6</v>
      </c>
      <c r="AE8" s="6" t="str">
        <f>IF($AD8&gt;=$AD9,$V8,$V9)</f>
        <v> Allemagne </v>
      </c>
      <c r="AF8" s="6">
        <f>VLOOKUP($AE8,$V8:$AD11,9,FALSE)</f>
        <v>6</v>
      </c>
      <c r="AG8" s="6" t="str">
        <f>IF($AF8&gt;=$AF10,$AE8,$AE10)</f>
        <v> Allemagne </v>
      </c>
      <c r="AH8" s="6">
        <f>VLOOKUP($AG8,$V8:$AD11,9,FALSE)</f>
        <v>6</v>
      </c>
      <c r="AI8" s="6" t="str">
        <f>IF($AH8&gt;=$AH11,$AG8,$AG11)</f>
        <v> Allemagne </v>
      </c>
      <c r="AJ8" s="6">
        <f>VLOOKUP($AI8,$V8:$AD11,9,FALSE)</f>
        <v>6</v>
      </c>
      <c r="AK8" s="6">
        <f>VLOOKUP($AI8,$V8:$AD11,8,FALSE)</f>
        <v>3</v>
      </c>
      <c r="AL8" s="6" t="str">
        <f>IF(AND($AJ8=$AJ9,$AK9&gt;$AK8),$AI9,$AI8)</f>
        <v> Equateur </v>
      </c>
      <c r="AM8" s="6">
        <f>VLOOKUP($AL8,$V8:$AD11,9,FALSE)</f>
        <v>6</v>
      </c>
      <c r="AN8" s="6">
        <f>VLOOKUP($AL8,$V8:$AD11,8,FALSE)</f>
        <v>5</v>
      </c>
      <c r="AO8" s="6" t="str">
        <f>IF(AND($AM8=$AM10,$AN10&gt;$AN8),$AL10,$AL8)</f>
        <v> Equateur </v>
      </c>
      <c r="AP8" s="6">
        <f>VLOOKUP($AO8,$V8:$AD11,9,FALSE)</f>
        <v>6</v>
      </c>
      <c r="AQ8" s="6">
        <f>VLOOKUP($AO8,$V8:$AD11,8,FALSE)</f>
        <v>5</v>
      </c>
      <c r="AR8" s="6" t="str">
        <f>IF(AND($AP8=$AP11,$AQ11&gt;$AQ8),$AO11,$AO8)</f>
        <v> Equateur </v>
      </c>
      <c r="AS8" s="6">
        <f>VLOOKUP($AR8,$V8:$AD11,9,FALSE)</f>
        <v>6</v>
      </c>
      <c r="AT8" s="6">
        <f>VLOOKUP($AR8,$V8:$AD11,8,FALSE)</f>
        <v>5</v>
      </c>
      <c r="AU8" s="6">
        <f>VLOOKUP($AR8,$V8:$AD11,6,FALSE)</f>
        <v>5</v>
      </c>
      <c r="AV8" s="6" t="str">
        <f>IF(AND($AS8=$AS9,$AT8=$AT9,$AU9&gt;$AU8),$AR9,$AR8)</f>
        <v> Equateur </v>
      </c>
      <c r="AW8" s="6">
        <f>VLOOKUP($AV8,$V8:$AD11,9,FALSE)</f>
        <v>6</v>
      </c>
      <c r="AX8" s="6">
        <f>VLOOKUP($AV8,$V8:$AD11,8,FALSE)</f>
        <v>5</v>
      </c>
      <c r="AY8" s="6">
        <f>VLOOKUP($AV8,$V8:$AD11,6,FALSE)</f>
        <v>5</v>
      </c>
      <c r="AZ8" s="6" t="str">
        <f>IF(AND($AW8=$AW10,$AX8=$AX10,$AY10&gt;$AY8),$AV10,$AV8)</f>
        <v> Equateur </v>
      </c>
      <c r="BA8" s="6">
        <f>VLOOKUP($AZ8,$V8:$AD11,9,FALSE)</f>
        <v>6</v>
      </c>
      <c r="BB8" s="6">
        <f>VLOOKUP($AZ8,$V8:$AD11,8,FALSE)</f>
        <v>5</v>
      </c>
      <c r="BC8" s="6">
        <f>VLOOKUP($AZ8,$V8:$AD11,6,FALSE)</f>
        <v>5</v>
      </c>
      <c r="BD8" s="6" t="str">
        <f>IF(AND($BA8=$BA11,$BB8=$BB11,$BC11&gt;$BC8),$AZ11,$AZ8)</f>
        <v> Equateur </v>
      </c>
      <c r="BE8" s="6">
        <f>VLOOKUP($BD8,$V8:$AD11,9,FALSE)</f>
        <v>6</v>
      </c>
      <c r="BF8" s="6">
        <f>VLOOKUP($BD8,$V8:$AD11,8,FALSE)</f>
        <v>5</v>
      </c>
      <c r="BG8" s="6">
        <f>VLOOKUP($BD8,$V8:$AD11,6,FALSE)</f>
        <v>5</v>
      </c>
      <c r="BK8" s="6" t="str">
        <f>BD8</f>
        <v> Equateur </v>
      </c>
      <c r="BL8" s="6">
        <f>VLOOKUP($BK8,$V8:$AD11,2,FALSE)</f>
        <v>2</v>
      </c>
      <c r="BM8" s="6">
        <f>VLOOKUP($BK8,$V8:$AD11,3,FALSE)</f>
        <v>2</v>
      </c>
      <c r="BN8" s="6">
        <f>VLOOKUP($BK8,$V8:$AD11,4,FALSE)</f>
        <v>0</v>
      </c>
      <c r="BO8" s="6">
        <f>VLOOKUP($BK8,$V8:$AD11,5,FALSE)</f>
        <v>0</v>
      </c>
      <c r="BP8" s="6">
        <f>VLOOKUP($BK8,$V8:$AD11,6,FALSE)</f>
        <v>5</v>
      </c>
      <c r="BQ8" s="6">
        <f>VLOOKUP($BK8,$V8:$AD11,7,FALSE)</f>
        <v>0</v>
      </c>
      <c r="BR8" s="6">
        <f>VLOOKUP($BK8,$V8:$AD11,8,FALSE)</f>
        <v>5</v>
      </c>
      <c r="BS8" s="6">
        <f>VLOOKUP($BK8,$V8:$AD11,9,FALSE)</f>
        <v>6</v>
      </c>
      <c r="BX8" s="47">
        <v>38877.791666666664</v>
      </c>
      <c r="BY8" s="22"/>
      <c r="CE8" s="24"/>
    </row>
    <row r="9" spans="1:83" ht="13.5" thickBot="1">
      <c r="A9" s="2">
        <f>BX9+(VLOOKUP('Group Points'!$E$2,'Group Points'!$D$4:$E$27,2)/24)</f>
        <v>38882.875</v>
      </c>
      <c r="B9" s="3">
        <f>BX9+(VLOOKUP('Group Points'!$E$2,'Group Points'!$D$4:$E$27,2)/24)</f>
        <v>38882.875</v>
      </c>
      <c r="C9" s="4" t="str">
        <f>$V$8</f>
        <v> Allemagne </v>
      </c>
      <c r="D9" s="49">
        <v>1</v>
      </c>
      <c r="E9" s="50">
        <v>0</v>
      </c>
      <c r="F9" s="19" t="str">
        <f>$V$10</f>
        <v> Pologne </v>
      </c>
      <c r="G9" s="20" t="s">
        <v>67</v>
      </c>
      <c r="H9" s="21" t="s">
        <v>2</v>
      </c>
      <c r="I9" s="6" t="str">
        <f t="shared" si="1"/>
        <v> Allemagne </v>
      </c>
      <c r="J9" s="6" t="str">
        <f t="shared" si="2"/>
        <v> Pologne </v>
      </c>
      <c r="L9" s="41" t="str">
        <f>BK11</f>
        <v> Costa-Rica </v>
      </c>
      <c r="M9" s="44">
        <f t="shared" si="0"/>
        <v>2</v>
      </c>
      <c r="N9" s="44">
        <f t="shared" si="0"/>
        <v>0</v>
      </c>
      <c r="O9" s="44">
        <f t="shared" si="0"/>
        <v>2</v>
      </c>
      <c r="P9" s="44">
        <f t="shared" si="0"/>
        <v>0</v>
      </c>
      <c r="Q9" s="25">
        <f t="shared" si="0"/>
        <v>2</v>
      </c>
      <c r="R9" s="25">
        <f t="shared" si="0"/>
        <v>7</v>
      </c>
      <c r="S9" s="25">
        <f t="shared" si="0"/>
        <v>-5</v>
      </c>
      <c r="T9" s="54">
        <f t="shared" si="0"/>
        <v>0</v>
      </c>
      <c r="V9" s="6" t="s">
        <v>93</v>
      </c>
      <c r="W9" s="6">
        <f>COUNT(A2_Played)</f>
        <v>2</v>
      </c>
      <c r="X9" s="6">
        <f>COUNTIF(Groupstage_Winners,V9)</f>
        <v>0</v>
      </c>
      <c r="Y9" s="6">
        <f>COUNTIF(Groupstage_Losers,V9)</f>
        <v>2</v>
      </c>
      <c r="Z9" s="6">
        <f>W9-(X9+Y9)</f>
        <v>0</v>
      </c>
      <c r="AA9" s="6">
        <f>SUM(A2_Played)</f>
        <v>2</v>
      </c>
      <c r="AB9" s="6">
        <f>SUM(A2_Against)</f>
        <v>7</v>
      </c>
      <c r="AC9" s="6">
        <f>AA9-AB9</f>
        <v>-5</v>
      </c>
      <c r="AD9" s="6">
        <f>X9*Winpoints+Z9*Drawpoints</f>
        <v>0</v>
      </c>
      <c r="AE9" s="6" t="str">
        <f>IF($AD9&lt;=$AD8,$V9,$V8)</f>
        <v> Costa-Rica </v>
      </c>
      <c r="AF9" s="6">
        <f>VLOOKUP($AE9,$V8:$AD11,9,FALSE)</f>
        <v>0</v>
      </c>
      <c r="AG9" s="6" t="str">
        <f>IF(AF9&gt;=AF11,AE9,AE11)</f>
        <v> Costa-Rica </v>
      </c>
      <c r="AH9" s="6">
        <f>VLOOKUP($AG9,$V8:$AD11,9,FALSE)</f>
        <v>0</v>
      </c>
      <c r="AI9" s="6" t="str">
        <f>IF($AH9&gt;=$AH10,$AG9,$AG10)</f>
        <v> Equateur </v>
      </c>
      <c r="AJ9" s="6">
        <f>VLOOKUP($AI9,$V8:$AD11,9,FALSE)</f>
        <v>6</v>
      </c>
      <c r="AK9" s="6">
        <f>VLOOKUP($AI9,$V8:$AD11,8,FALSE)</f>
        <v>5</v>
      </c>
      <c r="AL9" s="6" t="str">
        <f>IF(AND($AJ8=$AJ9,$AK9&gt;$AK8),$AI8,$AI9)</f>
        <v> Allemagne </v>
      </c>
      <c r="AM9" s="6">
        <f>VLOOKUP($AL9,$V8:$AD11,9,FALSE)</f>
        <v>6</v>
      </c>
      <c r="AN9" s="6">
        <f>VLOOKUP($AL9,$V8:$AD11,8,FALSE)</f>
        <v>3</v>
      </c>
      <c r="AO9" s="6" t="str">
        <f>IF(AND($AM9=$AM11,$AN11&gt;$AN9),$AL11,$AL9)</f>
        <v> Allemagne </v>
      </c>
      <c r="AP9" s="6">
        <f>VLOOKUP($AO9,$V8:$AD11,9,FALSE)</f>
        <v>6</v>
      </c>
      <c r="AQ9" s="6">
        <f>VLOOKUP($AO9,$V8:$AD11,8,FALSE)</f>
        <v>3</v>
      </c>
      <c r="AR9" s="6" t="str">
        <f>IF(AND($AP9=$AP10,$AQ10&gt;$AQ9),$AO10,$AO9)</f>
        <v> Allemagne </v>
      </c>
      <c r="AS9" s="6">
        <f>VLOOKUP($AR9,$V8:$AD11,9,FALSE)</f>
        <v>6</v>
      </c>
      <c r="AT9" s="6">
        <f>VLOOKUP($AR9,$V8:$AD11,8,FALSE)</f>
        <v>3</v>
      </c>
      <c r="AU9" s="6">
        <f>VLOOKUP($AR9,$V8:$AD11,6,FALSE)</f>
        <v>5</v>
      </c>
      <c r="AV9" s="6" t="str">
        <f>IF(AND($AS8=$AS9,$AT8=$AT9,$AU9&gt;$AU8),$AR8,$AR9)</f>
        <v> Allemagne </v>
      </c>
      <c r="AW9" s="6">
        <f>VLOOKUP($AV9,$V8:$AD11,9,FALSE)</f>
        <v>6</v>
      </c>
      <c r="AX9" s="6">
        <f>VLOOKUP($AV9,$V8:$AD11,8,FALSE)</f>
        <v>3</v>
      </c>
      <c r="AY9" s="6">
        <f>VLOOKUP($AV9,$V8:$AD11,6,FALSE)</f>
        <v>5</v>
      </c>
      <c r="AZ9" s="6" t="str">
        <f>IF(AND($AW9=$AW11,$AX9=$AX11,$AY11&gt;$AY9),$AV11,$AV9)</f>
        <v> Allemagne </v>
      </c>
      <c r="BA9" s="6">
        <f>VLOOKUP($AZ9,$V8:$AD11,9,FALSE)</f>
        <v>6</v>
      </c>
      <c r="BB9" s="6">
        <f>VLOOKUP($AZ9,$V8:$AD11,8,FALSE)</f>
        <v>3</v>
      </c>
      <c r="BC9" s="6">
        <f>VLOOKUP($AZ9,$V8:$AD11,6,FALSE)</f>
        <v>5</v>
      </c>
      <c r="BD9" s="6" t="str">
        <f>IF(AND($BA9=$BA10,$BB9=$BB10,$BC10&gt;$BC9),$AZ10,$AZ9)</f>
        <v> Allemagne </v>
      </c>
      <c r="BE9" s="6">
        <f>VLOOKUP($BD9,$V8:$AD11,9,FALSE)</f>
        <v>6</v>
      </c>
      <c r="BF9" s="6">
        <f>VLOOKUP($BD9,$V8:$AD11,8,FALSE)</f>
        <v>3</v>
      </c>
      <c r="BG9" s="6">
        <f>VLOOKUP($BD9,$V8:$AD11,6,FALSE)</f>
        <v>5</v>
      </c>
      <c r="BK9" s="6" t="str">
        <f>BD9</f>
        <v> Allemagne </v>
      </c>
      <c r="BL9" s="6">
        <f>VLOOKUP($BK9,$V8:$AD11,2,FALSE)</f>
        <v>2</v>
      </c>
      <c r="BM9" s="6">
        <f>VLOOKUP($BK9,$V8:$AD11,3,FALSE)</f>
        <v>2</v>
      </c>
      <c r="BN9" s="6">
        <f>VLOOKUP($BK9,$V8:$AD11,4,FALSE)</f>
        <v>0</v>
      </c>
      <c r="BO9" s="6">
        <f>VLOOKUP($BK9,$V8:$AD11,5,FALSE)</f>
        <v>0</v>
      </c>
      <c r="BP9" s="6">
        <f>VLOOKUP($BK9,$V8:$AD11,6,FALSE)</f>
        <v>5</v>
      </c>
      <c r="BQ9" s="6">
        <f>VLOOKUP($BK9,$V8:$AD11,7,FALSE)</f>
        <v>2</v>
      </c>
      <c r="BR9" s="6">
        <f>VLOOKUP($BK9,$V8:$AD11,8,FALSE)</f>
        <v>3</v>
      </c>
      <c r="BS9" s="6">
        <f>VLOOKUP($BK9,$V8:$AD11,9,FALSE)</f>
        <v>6</v>
      </c>
      <c r="BX9" s="47">
        <v>38882.791666666664</v>
      </c>
      <c r="BY9" s="22"/>
      <c r="CE9" s="24"/>
    </row>
    <row r="10" spans="1:83" ht="13.5" thickBot="1">
      <c r="A10" s="2">
        <f>BX10+(VLOOKUP('Group Points'!$E$2,'Group Points'!$D$4:$E$27,2)/24)</f>
        <v>38883.625</v>
      </c>
      <c r="B10" s="3">
        <f>BX10+(VLOOKUP('Group Points'!$E$2,'Group Points'!$D$4:$E$27,2)/24)</f>
        <v>38883.625</v>
      </c>
      <c r="C10" s="4" t="str">
        <f>$V$11</f>
        <v> Equateur </v>
      </c>
      <c r="D10" s="49">
        <v>3</v>
      </c>
      <c r="E10" s="50">
        <v>0</v>
      </c>
      <c r="F10" s="19" t="str">
        <f>$V$9</f>
        <v> Costa-Rica </v>
      </c>
      <c r="G10" s="20" t="s">
        <v>68</v>
      </c>
      <c r="H10" s="21" t="s">
        <v>2</v>
      </c>
      <c r="I10" s="6" t="str">
        <f t="shared" si="1"/>
        <v> Equateur </v>
      </c>
      <c r="J10" s="6" t="str">
        <f t="shared" si="2"/>
        <v> Costa-Rica </v>
      </c>
      <c r="V10" s="6" t="s">
        <v>94</v>
      </c>
      <c r="W10" s="6">
        <f>COUNT(A3_Played)</f>
        <v>2</v>
      </c>
      <c r="X10" s="6">
        <f>COUNTIF(Groupstage_Winners,V10)</f>
        <v>0</v>
      </c>
      <c r="Y10" s="6">
        <f>COUNTIF(Groupstage_Losers,V10)</f>
        <v>2</v>
      </c>
      <c r="Z10" s="6">
        <f>W10-(X10+Y10)</f>
        <v>0</v>
      </c>
      <c r="AA10" s="6">
        <f>SUM(A3_Played)</f>
        <v>0</v>
      </c>
      <c r="AB10" s="6">
        <f>SUM(A3_Against)</f>
        <v>3</v>
      </c>
      <c r="AC10" s="6">
        <f>AA10-AB10</f>
        <v>-3</v>
      </c>
      <c r="AD10" s="6">
        <f>X10*Winpoints+Z10*Drawpoints</f>
        <v>0</v>
      </c>
      <c r="AE10" s="6" t="str">
        <f>IF($AD10&gt;=$AD11,$V10,$V11)</f>
        <v> Equateur </v>
      </c>
      <c r="AF10" s="6">
        <f>VLOOKUP($AE10,$V8:$AD11,9,FALSE)</f>
        <v>6</v>
      </c>
      <c r="AG10" s="6" t="str">
        <f>IF($AF10&lt;=$AF8,$AE10,$AE8)</f>
        <v> Equateur </v>
      </c>
      <c r="AH10" s="6">
        <f>VLOOKUP($AG10,$V8:$AD11,9,FALSE)</f>
        <v>6</v>
      </c>
      <c r="AI10" s="6" t="str">
        <f>IF($AH10&lt;=$AH9,$AG10,$AG9)</f>
        <v> Costa-Rica </v>
      </c>
      <c r="AJ10" s="6">
        <f>VLOOKUP($AI10,$V8:$AD11,9,FALSE)</f>
        <v>0</v>
      </c>
      <c r="AK10" s="6">
        <f>VLOOKUP($AI10,$V8:$AD11,8,FALSE)</f>
        <v>-5</v>
      </c>
      <c r="AL10" s="6" t="str">
        <f>IF(AND($AJ10=$AJ11,$AK11&gt;$AK10),$AI11,$AI10)</f>
        <v> Pologne </v>
      </c>
      <c r="AM10" s="6">
        <f>VLOOKUP($AL10,$V8:$AD11,9,FALSE)</f>
        <v>0</v>
      </c>
      <c r="AN10" s="6">
        <f>VLOOKUP($AL10,$V8:$AD11,8,FALSE)</f>
        <v>-3</v>
      </c>
      <c r="AO10" s="6" t="str">
        <f>IF(AND($AM8=$AM10,$AN10&gt;$AN8),$AL8,$AL10)</f>
        <v> Pologne </v>
      </c>
      <c r="AP10" s="6">
        <f>VLOOKUP($AO10,$V8:$AD11,9,FALSE)</f>
        <v>0</v>
      </c>
      <c r="AQ10" s="6">
        <f>VLOOKUP($AO10,$V8:$AD11,8,FALSE)</f>
        <v>-3</v>
      </c>
      <c r="AR10" s="6" t="str">
        <f>IF(AND($AP9=$AP10,$AQ10&gt;$AQ9),$AO9,$AO10)</f>
        <v> Pologne </v>
      </c>
      <c r="AS10" s="6">
        <f>VLOOKUP($AR10,$V8:$AD11,9,FALSE)</f>
        <v>0</v>
      </c>
      <c r="AT10" s="6">
        <f>VLOOKUP($AR10,$V8:$AD11,8,FALSE)</f>
        <v>-3</v>
      </c>
      <c r="AU10" s="6">
        <f>VLOOKUP($AR10,$V8:$AD11,6,FALSE)</f>
        <v>0</v>
      </c>
      <c r="AV10" s="6" t="str">
        <f>IF(AND($AS10=$AS11,$AT10=$AT11,$AU11&gt;$AU10),$AR11,$AR10)</f>
        <v> Pologne </v>
      </c>
      <c r="AW10" s="6">
        <f>VLOOKUP($AV10,$V8:$AD11,9,FALSE)</f>
        <v>0</v>
      </c>
      <c r="AX10" s="6">
        <f>VLOOKUP($AV10,$V8:$AD11,8,FALSE)</f>
        <v>-3</v>
      </c>
      <c r="AY10" s="6">
        <f>VLOOKUP($AV10,$V8:$AD11,6,FALSE)</f>
        <v>0</v>
      </c>
      <c r="AZ10" s="6" t="str">
        <f>IF(AND($AW8=$AW10,$AX8=$AX10,$AY10&gt;$AY8),$AV8,$AV10)</f>
        <v> Pologne </v>
      </c>
      <c r="BA10" s="6">
        <f>VLOOKUP($AZ10,$V8:$AD11,9,FALSE)</f>
        <v>0</v>
      </c>
      <c r="BB10" s="6">
        <f>VLOOKUP($AZ10,$V8:$AD11,8,FALSE)</f>
        <v>-3</v>
      </c>
      <c r="BC10" s="6">
        <f>VLOOKUP($AZ10,$V8:$AD11,6,FALSE)</f>
        <v>0</v>
      </c>
      <c r="BD10" s="6" t="str">
        <f>IF(AND($BA9=$BA10,$BB9=$BB10,$BC10&gt;$BC9),$AZ9,$AZ10)</f>
        <v> Pologne </v>
      </c>
      <c r="BE10" s="6">
        <f>VLOOKUP($BD10,$V8:$AD11,9,FALSE)</f>
        <v>0</v>
      </c>
      <c r="BF10" s="6">
        <f>VLOOKUP($BD10,$V8:$AD11,8,FALSE)</f>
        <v>-3</v>
      </c>
      <c r="BG10" s="6">
        <f>VLOOKUP($BD10,$V8:$AD11,6,FALSE)</f>
        <v>0</v>
      </c>
      <c r="BK10" s="6" t="str">
        <f>BD10</f>
        <v> Pologne </v>
      </c>
      <c r="BL10" s="6">
        <f>VLOOKUP($BK10,$V8:$AD11,2,FALSE)</f>
        <v>2</v>
      </c>
      <c r="BM10" s="6">
        <f>VLOOKUP($BK10,$V8:$AD11,3,FALSE)</f>
        <v>0</v>
      </c>
      <c r="BN10" s="6">
        <f>VLOOKUP($BK10,$V8:$AD11,4,FALSE)</f>
        <v>2</v>
      </c>
      <c r="BO10" s="6">
        <f>VLOOKUP($BK10,$V8:$AD11,5,FALSE)</f>
        <v>0</v>
      </c>
      <c r="BP10" s="6">
        <f>VLOOKUP($BK10,$V8:$AD11,6,FALSE)</f>
        <v>0</v>
      </c>
      <c r="BQ10" s="6">
        <f>VLOOKUP($BK10,$V8:$AD11,7,FALSE)</f>
        <v>3</v>
      </c>
      <c r="BR10" s="6">
        <f>VLOOKUP($BK10,$V8:$AD11,8,FALSE)</f>
        <v>-3</v>
      </c>
      <c r="BS10" s="6">
        <f>VLOOKUP($BK10,$V8:$AD11,9,FALSE)</f>
        <v>0</v>
      </c>
      <c r="BX10" s="47">
        <v>38883.541666666664</v>
      </c>
      <c r="BY10" s="3"/>
      <c r="CE10" s="24"/>
    </row>
    <row r="11" spans="1:83" ht="15.75" thickBot="1">
      <c r="A11" s="2">
        <f>BX11+(VLOOKUP('Group Points'!$E$2,'Group Points'!$D$4:$E$27,2)/24)</f>
        <v>38888.66666666667</v>
      </c>
      <c r="B11" s="3">
        <f>BX11+(VLOOKUP('Group Points'!$E$2,'Group Points'!$D$4:$E$27,2)/24)</f>
        <v>38888.66666666667</v>
      </c>
      <c r="C11" s="4" t="str">
        <f>$V$11</f>
        <v> Equateur </v>
      </c>
      <c r="D11" s="49"/>
      <c r="E11" s="50"/>
      <c r="F11" s="19" t="str">
        <f>$V$8</f>
        <v> Allemagne </v>
      </c>
      <c r="G11" s="20" t="s">
        <v>69</v>
      </c>
      <c r="H11" s="21" t="s">
        <v>2</v>
      </c>
      <c r="I11" s="6">
        <f t="shared" si="1"/>
      </c>
      <c r="J11" s="6">
        <f t="shared" si="2"/>
      </c>
      <c r="L11" s="37" t="s">
        <v>81</v>
      </c>
      <c r="M11" s="43"/>
      <c r="N11" s="43"/>
      <c r="O11" s="43"/>
      <c r="P11" s="43"/>
      <c r="Q11" s="38"/>
      <c r="R11" s="38"/>
      <c r="S11" s="38"/>
      <c r="T11" s="9"/>
      <c r="V11" s="6" t="s">
        <v>95</v>
      </c>
      <c r="W11" s="6">
        <f>COUNT(A4_Played)</f>
        <v>2</v>
      </c>
      <c r="X11" s="6">
        <f>COUNTIF(Groupstage_Winners,V11)</f>
        <v>2</v>
      </c>
      <c r="Y11" s="6">
        <f>COUNTIF(Groupstage_Losers,V11)</f>
        <v>0</v>
      </c>
      <c r="Z11" s="6">
        <f>W11-(X11+Y11)</f>
        <v>0</v>
      </c>
      <c r="AA11" s="6">
        <f>SUM(A4_Played)</f>
        <v>5</v>
      </c>
      <c r="AB11" s="6">
        <f>SUM(A4_Against)</f>
        <v>0</v>
      </c>
      <c r="AC11" s="6">
        <f>AA11-AB11</f>
        <v>5</v>
      </c>
      <c r="AD11" s="6">
        <f>X11*Winpoints+Z11*Drawpoints</f>
        <v>6</v>
      </c>
      <c r="AE11" s="6" t="str">
        <f>IF($AD11&lt;=$AD10,$V11,$V10)</f>
        <v> Pologne </v>
      </c>
      <c r="AF11" s="6">
        <f>VLOOKUP($AE11,$V8:$AD11,9,FALSE)</f>
        <v>0</v>
      </c>
      <c r="AG11" s="6" t="str">
        <f>IF(AF11&lt;=AF9,AE11,AE9)</f>
        <v> Pologne </v>
      </c>
      <c r="AH11" s="6">
        <f>VLOOKUP($AG11,$V8:$AD11,9,FALSE)</f>
        <v>0</v>
      </c>
      <c r="AI11" s="6" t="str">
        <f>IF($AH11&lt;=$AH8,$AG11,$AG8)</f>
        <v> Pologne </v>
      </c>
      <c r="AJ11" s="6">
        <f>VLOOKUP($AI11,$V8:$AD11,9,FALSE)</f>
        <v>0</v>
      </c>
      <c r="AK11" s="6">
        <f>VLOOKUP($AI11,$V8:$AD11,8,FALSE)</f>
        <v>-3</v>
      </c>
      <c r="AL11" s="6" t="str">
        <f>IF(AND($AJ10=$AJ11,$AK11&gt;$AK10),$AI10,$AI11)</f>
        <v> Costa-Rica </v>
      </c>
      <c r="AM11" s="6">
        <f>VLOOKUP($AL11,$V8:$AD11,9,FALSE)</f>
        <v>0</v>
      </c>
      <c r="AN11" s="6">
        <f>VLOOKUP($AL11,$V8:$AD11,8,FALSE)</f>
        <v>-5</v>
      </c>
      <c r="AO11" s="6" t="str">
        <f>IF(AND($AM9=$AM11,$AN11&gt;$AN9),$AL9,$AL11)</f>
        <v> Costa-Rica </v>
      </c>
      <c r="AP11" s="6">
        <f>VLOOKUP($AO11,$V8:$AD11,9,FALSE)</f>
        <v>0</v>
      </c>
      <c r="AQ11" s="6">
        <f>VLOOKUP($AO11,$V8:$AD11,8,FALSE)</f>
        <v>-5</v>
      </c>
      <c r="AR11" s="6" t="str">
        <f>IF(AND($AP8=$AP11,$AQ11&gt;$AQ8),$AO8,$AO11)</f>
        <v> Costa-Rica </v>
      </c>
      <c r="AS11" s="6">
        <f>VLOOKUP($AR11,$V8:$AD11,9,FALSE)</f>
        <v>0</v>
      </c>
      <c r="AT11" s="6">
        <f>VLOOKUP($AR11,$V8:$AD11,8,FALSE)</f>
        <v>-5</v>
      </c>
      <c r="AU11" s="6">
        <f>VLOOKUP($AR11,$V8:$AD11,6,FALSE)</f>
        <v>2</v>
      </c>
      <c r="AV11" s="6" t="str">
        <f>IF(AND($AS10=$AS11,$AT10=$AT11,$AU11&gt;$AU10),$AR10,$AR11)</f>
        <v> Costa-Rica </v>
      </c>
      <c r="AW11" s="6">
        <f>VLOOKUP($AV11,$V8:$AD11,9,FALSE)</f>
        <v>0</v>
      </c>
      <c r="AX11" s="6">
        <f>VLOOKUP($AV11,$V8:$AD11,8,FALSE)</f>
        <v>-5</v>
      </c>
      <c r="AY11" s="6">
        <f>VLOOKUP($AV11,$V8:$AD11,6,FALSE)</f>
        <v>2</v>
      </c>
      <c r="AZ11" s="6" t="str">
        <f>IF(AND($AW9=$AW11,$AX9=$AX11,$AY11&gt;$AY9),$AV9,$AV11)</f>
        <v> Costa-Rica </v>
      </c>
      <c r="BA11" s="6">
        <f>VLOOKUP($AZ11,$V8:$AD11,9,FALSE)</f>
        <v>0</v>
      </c>
      <c r="BB11" s="6">
        <f>VLOOKUP($AZ11,$V8:$AD11,8,FALSE)</f>
        <v>-5</v>
      </c>
      <c r="BC11" s="6">
        <f>VLOOKUP($AZ11,$V8:$AD11,6,FALSE)</f>
        <v>2</v>
      </c>
      <c r="BD11" s="6" t="str">
        <f>IF(AND($BA8=$BA11,$BB8=$BB11,$BC11&gt;$BC8),$AZ8,$AZ11)</f>
        <v> Costa-Rica </v>
      </c>
      <c r="BE11" s="6">
        <f>VLOOKUP($BD11,$V8:$AD11,9,FALSE)</f>
        <v>0</v>
      </c>
      <c r="BF11" s="6">
        <f>VLOOKUP($BD11,$V8:$AD11,8,FALSE)</f>
        <v>-5</v>
      </c>
      <c r="BG11" s="6">
        <f>VLOOKUP($BD11,$V8:$AD11,6,FALSE)</f>
        <v>2</v>
      </c>
      <c r="BK11" s="6" t="str">
        <f>BD11</f>
        <v> Costa-Rica </v>
      </c>
      <c r="BL11" s="6">
        <f>VLOOKUP($BK11,$V8:$AD11,2,FALSE)</f>
        <v>2</v>
      </c>
      <c r="BM11" s="6">
        <f>VLOOKUP($BK11,$V8:$AD11,3,FALSE)</f>
        <v>0</v>
      </c>
      <c r="BN11" s="6">
        <f>VLOOKUP($BK11,$V8:$AD11,4,FALSE)</f>
        <v>2</v>
      </c>
      <c r="BO11" s="6">
        <f>VLOOKUP($BK11,$V8:$AD11,5,FALSE)</f>
        <v>0</v>
      </c>
      <c r="BP11" s="6">
        <f>VLOOKUP($BK11,$V8:$AD11,6,FALSE)</f>
        <v>2</v>
      </c>
      <c r="BQ11" s="6">
        <f>VLOOKUP($BK11,$V8:$AD11,7,FALSE)</f>
        <v>7</v>
      </c>
      <c r="BR11" s="6">
        <f>VLOOKUP($BK11,$V8:$AD11,8,FALSE)</f>
        <v>-5</v>
      </c>
      <c r="BS11" s="6">
        <f>VLOOKUP($BK11,$V8:$AD11,9,FALSE)</f>
        <v>0</v>
      </c>
      <c r="BX11" s="47">
        <v>38888.583333333336</v>
      </c>
      <c r="BY11" s="22"/>
      <c r="CE11" s="24"/>
    </row>
    <row r="12" spans="1:83" ht="13.5" thickBot="1">
      <c r="A12" s="2">
        <f>BX12+(VLOOKUP('Group Points'!$E$2,'Group Points'!$D$4:$E$27,2)/24)</f>
        <v>38888.66666666667</v>
      </c>
      <c r="B12" s="3">
        <f>BX12+(VLOOKUP('Group Points'!$E$2,'Group Points'!$D$4:$E$27,2)/24)</f>
        <v>38888.66666666667</v>
      </c>
      <c r="C12" s="4" t="str">
        <f>$V$9</f>
        <v> Costa-Rica </v>
      </c>
      <c r="D12" s="49" t="s">
        <v>133</v>
      </c>
      <c r="E12" s="50" t="s">
        <v>133</v>
      </c>
      <c r="F12" s="19" t="str">
        <f>$V$10</f>
        <v> Pologne </v>
      </c>
      <c r="G12" s="20" t="s">
        <v>70</v>
      </c>
      <c r="H12" s="21" t="s">
        <v>2</v>
      </c>
      <c r="I12" s="6" t="str">
        <f t="shared" si="1"/>
        <v>Draw</v>
      </c>
      <c r="J12" s="6" t="str">
        <f t="shared" si="2"/>
        <v>Draw</v>
      </c>
      <c r="L12" s="39"/>
      <c r="M12" s="42" t="s">
        <v>29</v>
      </c>
      <c r="N12" s="42" t="s">
        <v>10</v>
      </c>
      <c r="O12" s="42" t="s">
        <v>11</v>
      </c>
      <c r="P12" s="42" t="s">
        <v>1</v>
      </c>
      <c r="Q12" s="14" t="s">
        <v>7</v>
      </c>
      <c r="R12" s="14" t="s">
        <v>2</v>
      </c>
      <c r="S12" s="14" t="s">
        <v>8</v>
      </c>
      <c r="T12" s="15" t="s">
        <v>30</v>
      </c>
      <c r="BX12" s="47">
        <v>38888.583333333336</v>
      </c>
      <c r="BY12" s="22"/>
      <c r="CE12" s="24"/>
    </row>
    <row r="13" spans="1:83" ht="13.5" thickBot="1">
      <c r="A13" s="2">
        <f>BX13+(VLOOKUP('Group Points'!$E$2,'Group Points'!$D$4:$E$27,2)/24)</f>
        <v>38878.625</v>
      </c>
      <c r="B13" s="3">
        <f>BX13+(VLOOKUP('Group Points'!$E$2,'Group Points'!$D$4:$E$27,2)/24)</f>
        <v>38878.625</v>
      </c>
      <c r="C13" s="4" t="str">
        <f>$V$15</f>
        <v> Angleterre </v>
      </c>
      <c r="D13" s="49">
        <v>1</v>
      </c>
      <c r="E13" s="50">
        <v>0</v>
      </c>
      <c r="F13" s="19" t="str">
        <f>$V$16</f>
        <v> Paraguay </v>
      </c>
      <c r="G13" s="20" t="s">
        <v>71</v>
      </c>
      <c r="H13" s="21" t="s">
        <v>0</v>
      </c>
      <c r="I13" s="6" t="str">
        <f t="shared" si="1"/>
        <v> Angleterre </v>
      </c>
      <c r="J13" s="6" t="str">
        <f t="shared" si="2"/>
        <v> Paraguay </v>
      </c>
      <c r="L13" s="40" t="str">
        <f aca="true" t="shared" si="3" ref="L13:T16">BK15</f>
        <v> Angleterre </v>
      </c>
      <c r="M13" s="21">
        <f t="shared" si="3"/>
        <v>2</v>
      </c>
      <c r="N13" s="21">
        <f t="shared" si="3"/>
        <v>2</v>
      </c>
      <c r="O13" s="21">
        <f t="shared" si="3"/>
        <v>0</v>
      </c>
      <c r="P13" s="21">
        <f t="shared" si="3"/>
        <v>0</v>
      </c>
      <c r="Q13" s="18">
        <f t="shared" si="3"/>
        <v>3</v>
      </c>
      <c r="R13" s="18">
        <f t="shared" si="3"/>
        <v>0</v>
      </c>
      <c r="S13" s="18">
        <f t="shared" si="3"/>
        <v>3</v>
      </c>
      <c r="T13" s="53">
        <f t="shared" si="3"/>
        <v>6</v>
      </c>
      <c r="V13" s="6" t="s">
        <v>16</v>
      </c>
      <c r="BX13" s="47">
        <v>38878.541666666664</v>
      </c>
      <c r="BY13" s="22"/>
      <c r="CE13" s="24"/>
    </row>
    <row r="14" spans="1:83" ht="13.5" thickBot="1">
      <c r="A14" s="2">
        <f>BX14+(VLOOKUP('Group Points'!$E$2,'Group Points'!$D$4:$E$27,2)/24)</f>
        <v>38878.75</v>
      </c>
      <c r="B14" s="3">
        <f>BX14+(VLOOKUP('Group Points'!$E$2,'Group Points'!$D$4:$E$27,2)/24)</f>
        <v>38878.75</v>
      </c>
      <c r="C14" s="4" t="str">
        <f>$V$17</f>
        <v> Trinitad et Tobago </v>
      </c>
      <c r="D14" s="49">
        <v>0</v>
      </c>
      <c r="E14" s="50">
        <v>0</v>
      </c>
      <c r="F14" s="19" t="str">
        <f>$V$18</f>
        <v> Suède </v>
      </c>
      <c r="G14" s="20" t="s">
        <v>67</v>
      </c>
      <c r="H14" s="21" t="s">
        <v>0</v>
      </c>
      <c r="I14" s="6" t="str">
        <f t="shared" si="1"/>
        <v>Draw</v>
      </c>
      <c r="J14" s="6" t="str">
        <f t="shared" si="2"/>
        <v>Draw</v>
      </c>
      <c r="L14" s="40" t="str">
        <f t="shared" si="3"/>
        <v> Suède </v>
      </c>
      <c r="M14" s="21">
        <f t="shared" si="3"/>
        <v>2</v>
      </c>
      <c r="N14" s="21">
        <f t="shared" si="3"/>
        <v>1</v>
      </c>
      <c r="O14" s="21">
        <f t="shared" si="3"/>
        <v>0</v>
      </c>
      <c r="P14" s="21">
        <f t="shared" si="3"/>
        <v>1</v>
      </c>
      <c r="Q14" s="18">
        <f t="shared" si="3"/>
        <v>1</v>
      </c>
      <c r="R14" s="18">
        <f t="shared" si="3"/>
        <v>0</v>
      </c>
      <c r="S14" s="18">
        <f t="shared" si="3"/>
        <v>1</v>
      </c>
      <c r="T14" s="53">
        <f t="shared" si="3"/>
        <v>4</v>
      </c>
      <c r="W14" s="6" t="s">
        <v>6</v>
      </c>
      <c r="X14" s="6" t="s">
        <v>10</v>
      </c>
      <c r="Y14" s="6" t="s">
        <v>11</v>
      </c>
      <c r="Z14" s="6" t="s">
        <v>1</v>
      </c>
      <c r="AA14" s="6" t="s">
        <v>7</v>
      </c>
      <c r="AB14" s="6" t="s">
        <v>2</v>
      </c>
      <c r="AC14" s="6" t="s">
        <v>8</v>
      </c>
      <c r="AD14" s="6" t="s">
        <v>9</v>
      </c>
      <c r="BX14" s="47">
        <v>38878.666666666664</v>
      </c>
      <c r="BY14" s="22"/>
      <c r="CE14" s="24"/>
    </row>
    <row r="15" spans="1:83" ht="13.5" thickBot="1">
      <c r="A15" s="2">
        <f>BX15+(VLOOKUP('Group Points'!$E$2,'Group Points'!$D$4:$E$27,2)/24)</f>
        <v>38883.75</v>
      </c>
      <c r="B15" s="3">
        <f>BX15+(VLOOKUP('Group Points'!$E$2,'Group Points'!$D$4:$E$27,2)/24)</f>
        <v>38883.75</v>
      </c>
      <c r="C15" s="4" t="str">
        <f>$V$15</f>
        <v> Angleterre </v>
      </c>
      <c r="D15" s="49">
        <v>2</v>
      </c>
      <c r="E15" s="50">
        <v>0</v>
      </c>
      <c r="F15" s="19" t="str">
        <f>$V$17</f>
        <v> Trinitad et Tobago </v>
      </c>
      <c r="G15" s="20" t="s">
        <v>72</v>
      </c>
      <c r="H15" s="21" t="s">
        <v>0</v>
      </c>
      <c r="I15" s="6" t="str">
        <f t="shared" si="1"/>
        <v> Angleterre </v>
      </c>
      <c r="J15" s="6" t="str">
        <f t="shared" si="2"/>
        <v> Trinitad et Tobago </v>
      </c>
      <c r="L15" s="40" t="str">
        <f t="shared" si="3"/>
        <v> Trinitad et Tobago </v>
      </c>
      <c r="M15" s="21">
        <f t="shared" si="3"/>
        <v>2</v>
      </c>
      <c r="N15" s="21">
        <f t="shared" si="3"/>
        <v>0</v>
      </c>
      <c r="O15" s="21">
        <f t="shared" si="3"/>
        <v>1</v>
      </c>
      <c r="P15" s="21">
        <f t="shared" si="3"/>
        <v>1</v>
      </c>
      <c r="Q15" s="18">
        <f t="shared" si="3"/>
        <v>0</v>
      </c>
      <c r="R15" s="18">
        <f t="shared" si="3"/>
        <v>1</v>
      </c>
      <c r="S15" s="18">
        <f t="shared" si="3"/>
        <v>-1</v>
      </c>
      <c r="T15" s="53">
        <f t="shared" si="3"/>
        <v>1</v>
      </c>
      <c r="V15" s="6" t="s">
        <v>96</v>
      </c>
      <c r="W15" s="6">
        <f>COUNT(B1_Played)</f>
        <v>2</v>
      </c>
      <c r="X15" s="6">
        <f>COUNTIF(Groupstage_Winners,V15)</f>
        <v>2</v>
      </c>
      <c r="Y15" s="6">
        <f>COUNTIF(Groupstage_Losers,V15)</f>
        <v>0</v>
      </c>
      <c r="Z15" s="6">
        <f>W15-(X15+Y15)</f>
        <v>0</v>
      </c>
      <c r="AA15" s="6">
        <f>SUM(B1_Played)</f>
        <v>3</v>
      </c>
      <c r="AB15" s="6">
        <f>SUM(B1_Against)</f>
        <v>0</v>
      </c>
      <c r="AC15" s="6">
        <f>AA15-AB15</f>
        <v>3</v>
      </c>
      <c r="AD15" s="6">
        <f>X15*Winpoints+Z15*Drawpoints</f>
        <v>6</v>
      </c>
      <c r="AE15" s="6" t="str">
        <f>IF($AD15&gt;=$AD16,$V15,$V16)</f>
        <v> Angleterre </v>
      </c>
      <c r="AF15" s="6">
        <f>VLOOKUP($AE15,$V15:$AD18,9,FALSE)</f>
        <v>6</v>
      </c>
      <c r="AG15" s="6" t="str">
        <f>IF($AF15&gt;=$AF17,$AE15,$AE17)</f>
        <v> Angleterre </v>
      </c>
      <c r="AH15" s="6">
        <f>VLOOKUP($AG15,$V15:$AD18,9,FALSE)</f>
        <v>6</v>
      </c>
      <c r="AI15" s="6" t="str">
        <f>IF($AH15&gt;=$AH18,$AG15,$AG18)</f>
        <v> Angleterre </v>
      </c>
      <c r="AJ15" s="6">
        <f>VLOOKUP($AI15,$V15:$AD18,9,FALSE)</f>
        <v>6</v>
      </c>
      <c r="AK15" s="6">
        <f>VLOOKUP($AI15,$V15:$AD18,8,FALSE)</f>
        <v>3</v>
      </c>
      <c r="AL15" s="6" t="str">
        <f>IF(AND($AJ15=$AJ16,$AK16&gt;$AK15),$AI16,$AI15)</f>
        <v> Angleterre </v>
      </c>
      <c r="AM15" s="6">
        <f>VLOOKUP($AL15,$V15:$AD18,9,FALSE)</f>
        <v>6</v>
      </c>
      <c r="AN15" s="6">
        <f>VLOOKUP($AL15,$V15:$AD18,8,FALSE)</f>
        <v>3</v>
      </c>
      <c r="AO15" s="6" t="str">
        <f>IF(AND($AM15=$AM17,$AN17&gt;$AN15),$AL17,$AL15)</f>
        <v> Angleterre </v>
      </c>
      <c r="AP15" s="6">
        <f>VLOOKUP($AO15,$V15:$AD18,9,FALSE)</f>
        <v>6</v>
      </c>
      <c r="AQ15" s="6">
        <f>VLOOKUP($AO15,$V15:$AD18,8,FALSE)</f>
        <v>3</v>
      </c>
      <c r="AR15" s="6" t="str">
        <f>IF(AND($AP15=$AP18,$AQ18&gt;$AQ15),$AO18,$AO15)</f>
        <v> Angleterre </v>
      </c>
      <c r="AS15" s="6">
        <f>VLOOKUP($AR15,$V15:$AD18,9,FALSE)</f>
        <v>6</v>
      </c>
      <c r="AT15" s="6">
        <f>VLOOKUP($AR15,$V15:$AD18,8,FALSE)</f>
        <v>3</v>
      </c>
      <c r="AU15" s="6">
        <f>VLOOKUP($AR15,$V15:$AD18,6,FALSE)</f>
        <v>3</v>
      </c>
      <c r="AV15" s="6" t="str">
        <f>IF(AND($AS15=$AS16,$AT15=$AT16,$AU16&gt;$AU15),$AR16,$AR15)</f>
        <v> Angleterre </v>
      </c>
      <c r="AW15" s="6">
        <f>VLOOKUP($AV15,$V15:$AD18,9,FALSE)</f>
        <v>6</v>
      </c>
      <c r="AX15" s="6">
        <f>VLOOKUP($AV15,$V15:$AD18,8,FALSE)</f>
        <v>3</v>
      </c>
      <c r="AY15" s="6">
        <f>VLOOKUP($AV15,$V15:$AD18,6,FALSE)</f>
        <v>3</v>
      </c>
      <c r="AZ15" s="6" t="str">
        <f>IF(AND($AW15=$AW17,$AX15=$AX17,$AY17&gt;$AY15),$AV17,$AV15)</f>
        <v> Angleterre </v>
      </c>
      <c r="BA15" s="6">
        <f>VLOOKUP($AZ15,$V15:$AD18,9,FALSE)</f>
        <v>6</v>
      </c>
      <c r="BB15" s="6">
        <f>VLOOKUP($AZ15,$V15:$AD18,8,FALSE)</f>
        <v>3</v>
      </c>
      <c r="BC15" s="6">
        <f>VLOOKUP($AZ15,$V15:$AD18,6,FALSE)</f>
        <v>3</v>
      </c>
      <c r="BD15" s="6" t="str">
        <f>IF(AND($BA15=$BA18,$BB15=$BB18,$BC18&gt;$BC15),$AZ18,$AZ15)</f>
        <v> Angleterre </v>
      </c>
      <c r="BE15" s="6">
        <f>VLOOKUP($BD15,$V15:$AD18,9,FALSE)</f>
        <v>6</v>
      </c>
      <c r="BF15" s="6">
        <f>VLOOKUP($BD15,$V15:$AD18,8,FALSE)</f>
        <v>3</v>
      </c>
      <c r="BG15" s="6">
        <f>VLOOKUP($BD15,$V15:$AD18,6,FALSE)</f>
        <v>3</v>
      </c>
      <c r="BK15" s="6" t="str">
        <f>BD15</f>
        <v> Angleterre </v>
      </c>
      <c r="BL15" s="6">
        <f>VLOOKUP($BK15,$V15:$AD18,2,FALSE)</f>
        <v>2</v>
      </c>
      <c r="BM15" s="6">
        <f>VLOOKUP($BK15,$V15:$AD18,3,FALSE)</f>
        <v>2</v>
      </c>
      <c r="BN15" s="6">
        <f>VLOOKUP($BK15,$V15:$AD18,4,FALSE)</f>
        <v>0</v>
      </c>
      <c r="BO15" s="6">
        <f>VLOOKUP($BK15,$V15:$AD18,5,FALSE)</f>
        <v>0</v>
      </c>
      <c r="BP15" s="6">
        <f>VLOOKUP($BK15,$V15:$AD18,6,FALSE)</f>
        <v>3</v>
      </c>
      <c r="BQ15" s="6">
        <f>VLOOKUP($BK15,$V15:$AD18,7,FALSE)</f>
        <v>0</v>
      </c>
      <c r="BR15" s="6">
        <f>VLOOKUP($BK15,$V15:$AD18,8,FALSE)</f>
        <v>3</v>
      </c>
      <c r="BS15" s="6">
        <f>VLOOKUP($BK15,$V15:$AD18,9,FALSE)</f>
        <v>6</v>
      </c>
      <c r="BX15" s="47">
        <v>38883.666666666664</v>
      </c>
      <c r="BY15" s="22"/>
      <c r="CE15" s="24"/>
    </row>
    <row r="16" spans="1:83" ht="13.5" thickBot="1">
      <c r="A16" s="2">
        <f>BX16+(VLOOKUP('Group Points'!$E$2,'Group Points'!$D$4:$E$27,2)/24)</f>
        <v>38883.875</v>
      </c>
      <c r="B16" s="3">
        <f>BX16+(VLOOKUP('Group Points'!$E$2,'Group Points'!$D$4:$E$27,2)/24)</f>
        <v>38883.875</v>
      </c>
      <c r="C16" s="4" t="str">
        <f>$V$18</f>
        <v> Suède </v>
      </c>
      <c r="D16" s="49">
        <v>1</v>
      </c>
      <c r="E16" s="50">
        <v>0</v>
      </c>
      <c r="F16" s="19" t="str">
        <f>$V$16</f>
        <v> Paraguay </v>
      </c>
      <c r="G16" s="20" t="s">
        <v>69</v>
      </c>
      <c r="H16" s="21" t="s">
        <v>0</v>
      </c>
      <c r="I16" s="6" t="str">
        <f t="shared" si="1"/>
        <v> Suède </v>
      </c>
      <c r="J16" s="6" t="str">
        <f t="shared" si="2"/>
        <v> Paraguay </v>
      </c>
      <c r="L16" s="41" t="str">
        <f t="shared" si="3"/>
        <v> Paraguay </v>
      </c>
      <c r="M16" s="44">
        <f t="shared" si="3"/>
        <v>2</v>
      </c>
      <c r="N16" s="44">
        <f t="shared" si="3"/>
        <v>0</v>
      </c>
      <c r="O16" s="44">
        <f t="shared" si="3"/>
        <v>2</v>
      </c>
      <c r="P16" s="44">
        <f t="shared" si="3"/>
        <v>0</v>
      </c>
      <c r="Q16" s="25">
        <f t="shared" si="3"/>
        <v>0</v>
      </c>
      <c r="R16" s="25">
        <f t="shared" si="3"/>
        <v>3</v>
      </c>
      <c r="S16" s="25">
        <f t="shared" si="3"/>
        <v>-3</v>
      </c>
      <c r="T16" s="54">
        <f t="shared" si="3"/>
        <v>0</v>
      </c>
      <c r="V16" s="6" t="s">
        <v>97</v>
      </c>
      <c r="W16" s="6">
        <f>COUNT(B2_Played)</f>
        <v>2</v>
      </c>
      <c r="X16" s="6">
        <f>COUNTIF(Groupstage_Winners,V16)</f>
        <v>0</v>
      </c>
      <c r="Y16" s="6">
        <f>COUNTIF(Groupstage_Losers,V16)</f>
        <v>2</v>
      </c>
      <c r="Z16" s="6">
        <f>W16-(X16+Y16)</f>
        <v>0</v>
      </c>
      <c r="AA16" s="6">
        <f>SUM(B2_Played)</f>
        <v>0</v>
      </c>
      <c r="AB16" s="6">
        <f>SUM(B2_Against)</f>
        <v>3</v>
      </c>
      <c r="AC16" s="6">
        <f>AA16-AB16</f>
        <v>-3</v>
      </c>
      <c r="AD16" s="6">
        <f>X16*Winpoints+Z16*Drawpoints</f>
        <v>0</v>
      </c>
      <c r="AE16" s="6" t="str">
        <f>IF($AD16&lt;=$AD15,$V16,$V15)</f>
        <v> Paraguay </v>
      </c>
      <c r="AF16" s="6">
        <f>VLOOKUP($AE16,$V15:$AD18,9,FALSE)</f>
        <v>0</v>
      </c>
      <c r="AG16" s="6" t="str">
        <f>IF(AF16&gt;=AF18,AE16,AE18)</f>
        <v> Trinitad et Tobago </v>
      </c>
      <c r="AH16" s="6">
        <f>VLOOKUP($AG16,$V15:$AD18,9,FALSE)</f>
        <v>1</v>
      </c>
      <c r="AI16" s="6" t="str">
        <f>IF($AH16&gt;=$AH17,$AG16,$AG17)</f>
        <v> Suède </v>
      </c>
      <c r="AJ16" s="6">
        <f>VLOOKUP($AI16,$V15:$AD18,9,FALSE)</f>
        <v>4</v>
      </c>
      <c r="AK16" s="6">
        <f>VLOOKUP($AI16,$V15:$AD18,8,FALSE)</f>
        <v>1</v>
      </c>
      <c r="AL16" s="6" t="str">
        <f>IF(AND($AJ15=$AJ16,$AK16&gt;$AK15),$AI15,$AI16)</f>
        <v> Suède </v>
      </c>
      <c r="AM16" s="6">
        <f>VLOOKUP($AL16,$V15:$AD18,9,FALSE)</f>
        <v>4</v>
      </c>
      <c r="AN16" s="6">
        <f>VLOOKUP($AL16,$V15:$AD18,8,FALSE)</f>
        <v>1</v>
      </c>
      <c r="AO16" s="6" t="str">
        <f>IF(AND($AM16=$AM18,$AN18&gt;$AN16),$AL18,$AL16)</f>
        <v> Suède </v>
      </c>
      <c r="AP16" s="6">
        <f>VLOOKUP($AO16,$V15:$AD18,9,FALSE)</f>
        <v>4</v>
      </c>
      <c r="AQ16" s="6">
        <f>VLOOKUP($AO16,$V15:$AD18,8,FALSE)</f>
        <v>1</v>
      </c>
      <c r="AR16" s="6" t="str">
        <f>IF(AND($AP16=$AP17,$AQ17&gt;$AQ16),$AO17,$AO16)</f>
        <v> Suède </v>
      </c>
      <c r="AS16" s="6">
        <f>VLOOKUP($AR16,$V15:$AD18,9,FALSE)</f>
        <v>4</v>
      </c>
      <c r="AT16" s="6">
        <f>VLOOKUP($AR16,$V15:$AD18,8,FALSE)</f>
        <v>1</v>
      </c>
      <c r="AU16" s="6">
        <f>VLOOKUP($AR16,$V15:$AD18,6,FALSE)</f>
        <v>1</v>
      </c>
      <c r="AV16" s="6" t="str">
        <f>IF(AND($AS15=$AS16,$AT15=$AT16,$AU16&gt;$AU15),$AR15,$AR16)</f>
        <v> Suède </v>
      </c>
      <c r="AW16" s="6">
        <f>VLOOKUP($AV16,$V15:$AD18,9,FALSE)</f>
        <v>4</v>
      </c>
      <c r="AX16" s="6">
        <f>VLOOKUP($AV16,$V15:$AD18,8,FALSE)</f>
        <v>1</v>
      </c>
      <c r="AY16" s="6">
        <f>VLOOKUP($AV16,$V15:$AD18,6,FALSE)</f>
        <v>1</v>
      </c>
      <c r="AZ16" s="6" t="str">
        <f>IF(AND($AW16=$AW18,$AX16=$AX18,$AY18&gt;$AY16),$AV18,$AV16)</f>
        <v> Suède </v>
      </c>
      <c r="BA16" s="6">
        <f>VLOOKUP($AZ16,$V15:$AD18,9,FALSE)</f>
        <v>4</v>
      </c>
      <c r="BB16" s="6">
        <f>VLOOKUP($AZ16,$V15:$AD18,8,FALSE)</f>
        <v>1</v>
      </c>
      <c r="BC16" s="6">
        <f>VLOOKUP($AZ16,$V15:$AD18,6,FALSE)</f>
        <v>1</v>
      </c>
      <c r="BD16" s="6" t="str">
        <f>IF(AND($BA16=$BA17,$BB16=$BB17,$BC17&gt;$BC16),$AZ17,$AZ16)</f>
        <v> Suède </v>
      </c>
      <c r="BE16" s="6">
        <f>VLOOKUP($BD16,$V15:$AD18,9,FALSE)</f>
        <v>4</v>
      </c>
      <c r="BF16" s="6">
        <f>VLOOKUP($BD16,$V15:$AD18,8,FALSE)</f>
        <v>1</v>
      </c>
      <c r="BG16" s="6">
        <f>VLOOKUP($BD16,$V15:$AD18,6,FALSE)</f>
        <v>1</v>
      </c>
      <c r="BK16" s="6" t="str">
        <f>BD16</f>
        <v> Suède </v>
      </c>
      <c r="BL16" s="6">
        <f>VLOOKUP($BK16,$V15:$AD18,2,FALSE)</f>
        <v>2</v>
      </c>
      <c r="BM16" s="6">
        <f>VLOOKUP($BK16,$V15:$AD18,3,FALSE)</f>
        <v>1</v>
      </c>
      <c r="BN16" s="6">
        <f>VLOOKUP($BK16,$V15:$AD18,4,FALSE)</f>
        <v>0</v>
      </c>
      <c r="BO16" s="6">
        <f>VLOOKUP($BK16,$V15:$AD18,5,FALSE)</f>
        <v>1</v>
      </c>
      <c r="BP16" s="6">
        <f>VLOOKUP($BK16,$V15:$AD18,6,FALSE)</f>
        <v>1</v>
      </c>
      <c r="BQ16" s="6">
        <f>VLOOKUP($BK16,$V15:$AD18,7,FALSE)</f>
        <v>0</v>
      </c>
      <c r="BR16" s="6">
        <f>VLOOKUP($BK16,$V15:$AD18,8,FALSE)</f>
        <v>1</v>
      </c>
      <c r="BS16" s="6">
        <f>VLOOKUP($BK16,$V15:$AD18,9,FALSE)</f>
        <v>4</v>
      </c>
      <c r="BX16" s="47">
        <v>38883.791666666664</v>
      </c>
      <c r="BY16" s="22"/>
      <c r="CE16" s="24"/>
    </row>
    <row r="17" spans="1:83" ht="13.5" thickBot="1">
      <c r="A17" s="2">
        <f>BX17+(VLOOKUP('Group Points'!$E$2,'Group Points'!$D$4:$E$27,2)/24)</f>
        <v>38888.875</v>
      </c>
      <c r="B17" s="3">
        <f>BX17+(VLOOKUP('Group Points'!$E$2,'Group Points'!$D$4:$E$27,2)/24)</f>
        <v>38888.875</v>
      </c>
      <c r="C17" s="4" t="str">
        <f>$V$18</f>
        <v> Suède </v>
      </c>
      <c r="D17" s="49"/>
      <c r="E17" s="50"/>
      <c r="F17" s="19" t="str">
        <f>$V$15</f>
        <v> Angleterre </v>
      </c>
      <c r="G17" s="20" t="s">
        <v>73</v>
      </c>
      <c r="H17" s="21" t="s">
        <v>0</v>
      </c>
      <c r="I17" s="6">
        <f t="shared" si="1"/>
      </c>
      <c r="J17" s="6">
        <f t="shared" si="2"/>
      </c>
      <c r="V17" s="6" t="s">
        <v>98</v>
      </c>
      <c r="W17" s="6">
        <f>COUNT(B3_Played)</f>
        <v>2</v>
      </c>
      <c r="X17" s="6">
        <f>COUNTIF(Groupstage_Winners,V17)</f>
        <v>0</v>
      </c>
      <c r="Y17" s="6">
        <f>COUNTIF(Groupstage_Losers,V17)</f>
        <v>1</v>
      </c>
      <c r="Z17" s="6">
        <f>W17-(X17+Y17)</f>
        <v>1</v>
      </c>
      <c r="AA17" s="6">
        <f>SUM(B3_Played)</f>
        <v>0</v>
      </c>
      <c r="AB17" s="6">
        <f>SUM(B3_Against)</f>
        <v>1</v>
      </c>
      <c r="AC17" s="6">
        <f>AA17-AB17</f>
        <v>-1</v>
      </c>
      <c r="AD17" s="6">
        <f>X17*Winpoints+Z17*Drawpoints</f>
        <v>1</v>
      </c>
      <c r="AE17" s="6" t="str">
        <f>IF($AD17&gt;=$AD18,$V17,$V18)</f>
        <v> Suède </v>
      </c>
      <c r="AF17" s="6">
        <f>VLOOKUP($AE17,$V15:$AD18,9,FALSE)</f>
        <v>4</v>
      </c>
      <c r="AG17" s="6" t="str">
        <f>IF($AF17&lt;=$AF15,$AE17,$AE15)</f>
        <v> Suède </v>
      </c>
      <c r="AH17" s="6">
        <f>VLOOKUP($AG17,$V15:$AD18,9,FALSE)</f>
        <v>4</v>
      </c>
      <c r="AI17" s="6" t="str">
        <f>IF($AH17&lt;=$AH16,$AG17,$AG16)</f>
        <v> Trinitad et Tobago </v>
      </c>
      <c r="AJ17" s="6">
        <f>VLOOKUP($AI17,$V15:$AD18,9,FALSE)</f>
        <v>1</v>
      </c>
      <c r="AK17" s="6">
        <f>VLOOKUP($AI17,$V15:$AD18,8,FALSE)</f>
        <v>-1</v>
      </c>
      <c r="AL17" s="6" t="str">
        <f>IF(AND($AJ17=$AJ18,$AK18&gt;$AK17),$AI18,$AI17)</f>
        <v> Trinitad et Tobago </v>
      </c>
      <c r="AM17" s="6">
        <f>VLOOKUP($AL17,$V15:$AD18,9,FALSE)</f>
        <v>1</v>
      </c>
      <c r="AN17" s="6">
        <f>VLOOKUP($AL17,$V15:$AD18,8,FALSE)</f>
        <v>-1</v>
      </c>
      <c r="AO17" s="6" t="str">
        <f>IF(AND($AM15=$AM17,$AN17&gt;$AN15),$AL15,$AL17)</f>
        <v> Trinitad et Tobago </v>
      </c>
      <c r="AP17" s="6">
        <f>VLOOKUP($AO17,$V15:$AD18,9,FALSE)</f>
        <v>1</v>
      </c>
      <c r="AQ17" s="6">
        <f>VLOOKUP($AO17,$V15:$AD18,8,FALSE)</f>
        <v>-1</v>
      </c>
      <c r="AR17" s="6" t="str">
        <f>IF(AND($AP16=$AP17,$AQ17&gt;$AQ16),$AO16,$AO17)</f>
        <v> Trinitad et Tobago </v>
      </c>
      <c r="AS17" s="6">
        <f>VLOOKUP($AR17,$V15:$AD18,9,FALSE)</f>
        <v>1</v>
      </c>
      <c r="AT17" s="6">
        <f>VLOOKUP($AR17,$V15:$AD18,8,FALSE)</f>
        <v>-1</v>
      </c>
      <c r="AU17" s="6">
        <f>VLOOKUP($AR17,$V15:$AD18,6,FALSE)</f>
        <v>0</v>
      </c>
      <c r="AV17" s="6" t="str">
        <f>IF(AND($AS17=$AS18,$AT17=$AT18,$AU18&gt;$AU17),$AR18,$AR17)</f>
        <v> Trinitad et Tobago </v>
      </c>
      <c r="AW17" s="6">
        <f>VLOOKUP($AV17,$V15:$AD18,9,FALSE)</f>
        <v>1</v>
      </c>
      <c r="AX17" s="6">
        <f>VLOOKUP($AV17,$V15:$AD18,8,FALSE)</f>
        <v>-1</v>
      </c>
      <c r="AY17" s="6">
        <f>VLOOKUP($AV17,$V15:$AD18,6,FALSE)</f>
        <v>0</v>
      </c>
      <c r="AZ17" s="6" t="str">
        <f>IF(AND($AW15=$AW17,$AX15=$AX17,$AY17&gt;$AY15),$AV15,$AV17)</f>
        <v> Trinitad et Tobago </v>
      </c>
      <c r="BA17" s="6">
        <f>VLOOKUP($AZ17,$V15:$AD18,9,FALSE)</f>
        <v>1</v>
      </c>
      <c r="BB17" s="6">
        <f>VLOOKUP($AZ17,$V15:$AD18,8,FALSE)</f>
        <v>-1</v>
      </c>
      <c r="BC17" s="6">
        <f>VLOOKUP($AZ17,$V15:$AD18,6,FALSE)</f>
        <v>0</v>
      </c>
      <c r="BD17" s="6" t="str">
        <f>IF(AND($BA16=$BA17,$BB16=$BB17,$BC17&gt;$BC16),$AZ16,$AZ17)</f>
        <v> Trinitad et Tobago </v>
      </c>
      <c r="BE17" s="6">
        <f>VLOOKUP($BD17,$V15:$AD18,9,FALSE)</f>
        <v>1</v>
      </c>
      <c r="BF17" s="6">
        <f>VLOOKUP($BD17,$V15:$AD18,8,FALSE)</f>
        <v>-1</v>
      </c>
      <c r="BG17" s="6">
        <f>VLOOKUP($BD17,$V15:$AD18,6,FALSE)</f>
        <v>0</v>
      </c>
      <c r="BK17" s="6" t="str">
        <f>BD17</f>
        <v> Trinitad et Tobago </v>
      </c>
      <c r="BL17" s="6">
        <f>VLOOKUP($BK17,$V15:$AD18,2,FALSE)</f>
        <v>2</v>
      </c>
      <c r="BM17" s="6">
        <f>VLOOKUP($BK17,$V15:$AD18,3,FALSE)</f>
        <v>0</v>
      </c>
      <c r="BN17" s="6">
        <f>VLOOKUP($BK17,$V15:$AD18,4,FALSE)</f>
        <v>1</v>
      </c>
      <c r="BO17" s="6">
        <f>VLOOKUP($BK17,$V15:$AD18,5,FALSE)</f>
        <v>1</v>
      </c>
      <c r="BP17" s="6">
        <f>VLOOKUP($BK17,$V15:$AD18,6,FALSE)</f>
        <v>0</v>
      </c>
      <c r="BQ17" s="6">
        <f>VLOOKUP($BK17,$V15:$AD18,7,FALSE)</f>
        <v>1</v>
      </c>
      <c r="BR17" s="6">
        <f>VLOOKUP($BK17,$V15:$AD18,8,FALSE)</f>
        <v>-1</v>
      </c>
      <c r="BS17" s="6">
        <f>VLOOKUP($BK17,$V15:$AD18,9,FALSE)</f>
        <v>1</v>
      </c>
      <c r="BX17" s="47">
        <v>38888.791666666664</v>
      </c>
      <c r="BY17" s="22"/>
      <c r="CE17" s="24"/>
    </row>
    <row r="18" spans="1:83" ht="15.75" thickBot="1">
      <c r="A18" s="2">
        <f>BX18+(VLOOKUP('Group Points'!$E$2,'Group Points'!$D$4:$E$27,2)/24)</f>
        <v>38888.875</v>
      </c>
      <c r="B18" s="3">
        <f>BX18+(VLOOKUP('Group Points'!$E$2,'Group Points'!$D$4:$E$27,2)/24)</f>
        <v>38888.875</v>
      </c>
      <c r="C18" s="4" t="str">
        <f>$V$16</f>
        <v> Paraguay </v>
      </c>
      <c r="D18" s="49"/>
      <c r="E18" s="50"/>
      <c r="F18" s="19" t="str">
        <f>$V$17</f>
        <v> Trinitad et Tobago </v>
      </c>
      <c r="G18" s="20" t="s">
        <v>74</v>
      </c>
      <c r="H18" s="21" t="s">
        <v>0</v>
      </c>
      <c r="I18" s="6">
        <f t="shared" si="1"/>
      </c>
      <c r="J18" s="6">
        <f t="shared" si="2"/>
      </c>
      <c r="L18" s="37" t="s">
        <v>82</v>
      </c>
      <c r="M18" s="43"/>
      <c r="N18" s="43"/>
      <c r="O18" s="43"/>
      <c r="P18" s="43"/>
      <c r="Q18" s="38"/>
      <c r="R18" s="38"/>
      <c r="S18" s="38"/>
      <c r="T18" s="9"/>
      <c r="V18" s="6" t="s">
        <v>99</v>
      </c>
      <c r="W18" s="6">
        <f>COUNT(B4_Played)</f>
        <v>2</v>
      </c>
      <c r="X18" s="6">
        <f>COUNTIF(Groupstage_Winners,V18)</f>
        <v>1</v>
      </c>
      <c r="Y18" s="6">
        <f>COUNTIF(Groupstage_Losers,V18)</f>
        <v>0</v>
      </c>
      <c r="Z18" s="6">
        <f>W18-(X18+Y18)</f>
        <v>1</v>
      </c>
      <c r="AA18" s="6">
        <f>SUM(B4_Played)</f>
        <v>1</v>
      </c>
      <c r="AB18" s="6">
        <f>SUM(B4_Against)</f>
        <v>0</v>
      </c>
      <c r="AC18" s="6">
        <f>AA18-AB18</f>
        <v>1</v>
      </c>
      <c r="AD18" s="6">
        <f>X18*Winpoints+Z18*Drawpoints</f>
        <v>4</v>
      </c>
      <c r="AE18" s="6" t="str">
        <f>IF($AD18&lt;=$AD17,$V18,$V17)</f>
        <v> Trinitad et Tobago </v>
      </c>
      <c r="AF18" s="6">
        <f>VLOOKUP($AE18,$V15:$AD18,9,FALSE)</f>
        <v>1</v>
      </c>
      <c r="AG18" s="6" t="str">
        <f>IF(AF18&lt;=AF16,AE18,AE16)</f>
        <v> Paraguay </v>
      </c>
      <c r="AH18" s="6">
        <f>VLOOKUP($AG18,$V15:$AD18,9,FALSE)</f>
        <v>0</v>
      </c>
      <c r="AI18" s="6" t="str">
        <f>IF($AH18&lt;=$AH15,$AG18,$AG15)</f>
        <v> Paraguay </v>
      </c>
      <c r="AJ18" s="6">
        <f>VLOOKUP($AI18,$V15:$AD18,9,FALSE)</f>
        <v>0</v>
      </c>
      <c r="AK18" s="6">
        <f>VLOOKUP($AI18,$V15:$AD18,8,FALSE)</f>
        <v>-3</v>
      </c>
      <c r="AL18" s="6" t="str">
        <f>IF(AND($AJ17=$AJ18,$AK18&gt;$AK17),$AI17,$AI18)</f>
        <v> Paraguay </v>
      </c>
      <c r="AM18" s="6">
        <f>VLOOKUP($AL18,$V15:$AD18,9,FALSE)</f>
        <v>0</v>
      </c>
      <c r="AN18" s="6">
        <f>VLOOKUP($AL18,$V15:$AD18,8,FALSE)</f>
        <v>-3</v>
      </c>
      <c r="AO18" s="6" t="str">
        <f>IF(AND($AM16=$AM18,$AN18&gt;$AN16),$AL16,$AL18)</f>
        <v> Paraguay </v>
      </c>
      <c r="AP18" s="6">
        <f>VLOOKUP($AO18,$V15:$AD18,9,FALSE)</f>
        <v>0</v>
      </c>
      <c r="AQ18" s="6">
        <f>VLOOKUP($AO18,$V15:$AD18,8,FALSE)</f>
        <v>-3</v>
      </c>
      <c r="AR18" s="6" t="str">
        <f>IF(AND($AP15=$AP18,$AQ18&gt;$AQ15),$AO15,$AO18)</f>
        <v> Paraguay </v>
      </c>
      <c r="AS18" s="6">
        <f>VLOOKUP($AR18,$V15:$AD18,9,FALSE)</f>
        <v>0</v>
      </c>
      <c r="AT18" s="6">
        <f>VLOOKUP($AR18,$V15:$AD18,8,FALSE)</f>
        <v>-3</v>
      </c>
      <c r="AU18" s="6">
        <f>VLOOKUP($AR18,$V15:$AD18,6,FALSE)</f>
        <v>0</v>
      </c>
      <c r="AV18" s="6" t="str">
        <f>IF(AND($AS17=$AS18,$AT17=$AT18,$AU18&gt;$AU17),$AR17,$AR18)</f>
        <v> Paraguay </v>
      </c>
      <c r="AW18" s="6">
        <f>VLOOKUP($AV18,$V15:$AD18,9,FALSE)</f>
        <v>0</v>
      </c>
      <c r="AX18" s="6">
        <f>VLOOKUP($AV18,$V15:$AD18,8,FALSE)</f>
        <v>-3</v>
      </c>
      <c r="AY18" s="6">
        <f>VLOOKUP($AV18,$V15:$AD18,6,FALSE)</f>
        <v>0</v>
      </c>
      <c r="AZ18" s="6" t="str">
        <f>IF(AND($AW16=$AW18,$AX16=$AX18,$AY18&gt;$AY16),$AV16,$AV18)</f>
        <v> Paraguay </v>
      </c>
      <c r="BA18" s="6">
        <f>VLOOKUP($AZ18,$V15:$AD18,9,FALSE)</f>
        <v>0</v>
      </c>
      <c r="BB18" s="6">
        <f>VLOOKUP($AZ18,$V15:$AD18,8,FALSE)</f>
        <v>-3</v>
      </c>
      <c r="BC18" s="6">
        <f>VLOOKUP($AZ18,$V15:$AD18,6,FALSE)</f>
        <v>0</v>
      </c>
      <c r="BD18" s="6" t="str">
        <f>IF(AND($BA15=$BA18,$BB15=$BB18,$BC18&gt;$BC15),$AZ15,$AZ18)</f>
        <v> Paraguay </v>
      </c>
      <c r="BE18" s="6">
        <f>VLOOKUP($BD18,$V15:$AD18,9,FALSE)</f>
        <v>0</v>
      </c>
      <c r="BF18" s="6">
        <f>VLOOKUP($BD18,$V15:$AD18,8,FALSE)</f>
        <v>-3</v>
      </c>
      <c r="BG18" s="6">
        <f>VLOOKUP($BD18,$V15:$AD18,6,FALSE)</f>
        <v>0</v>
      </c>
      <c r="BK18" s="6" t="str">
        <f>BD18</f>
        <v> Paraguay </v>
      </c>
      <c r="BL18" s="6">
        <f>VLOOKUP($BK18,$V15:$AD18,2,FALSE)</f>
        <v>2</v>
      </c>
      <c r="BM18" s="6">
        <f>VLOOKUP($BK18,$V15:$AD18,3,FALSE)</f>
        <v>0</v>
      </c>
      <c r="BN18" s="6">
        <f>VLOOKUP($BK18,$V15:$AD18,4,FALSE)</f>
        <v>2</v>
      </c>
      <c r="BO18" s="6">
        <f>VLOOKUP($BK18,$V15:$AD18,5,FALSE)</f>
        <v>0</v>
      </c>
      <c r="BP18" s="6">
        <f>VLOOKUP($BK18,$V15:$AD18,6,FALSE)</f>
        <v>0</v>
      </c>
      <c r="BQ18" s="6">
        <f>VLOOKUP($BK18,$V15:$AD18,7,FALSE)</f>
        <v>3</v>
      </c>
      <c r="BR18" s="6">
        <f>VLOOKUP($BK18,$V15:$AD18,8,FALSE)</f>
        <v>-3</v>
      </c>
      <c r="BS18" s="6">
        <f>VLOOKUP($BK18,$V15:$AD18,9,FALSE)</f>
        <v>0</v>
      </c>
      <c r="BX18" s="47">
        <v>38888.791666666664</v>
      </c>
      <c r="BY18" s="22"/>
      <c r="CE18" s="24"/>
    </row>
    <row r="19" spans="1:83" ht="13.5" thickBot="1">
      <c r="A19" s="2">
        <f>BX19+(VLOOKUP('Group Points'!$E$2,'Group Points'!$D$4:$E$27,2)/24)</f>
        <v>38878.875</v>
      </c>
      <c r="B19" s="3">
        <f>BX19+(VLOOKUP('Group Points'!$E$2,'Group Points'!$D$4:$E$27,2)/24)</f>
        <v>38878.875</v>
      </c>
      <c r="C19" s="4" t="str">
        <f>$V$22</f>
        <v> Argentine </v>
      </c>
      <c r="D19" s="49">
        <v>2</v>
      </c>
      <c r="E19" s="50">
        <v>1</v>
      </c>
      <c r="F19" s="19" t="str">
        <f>$V$23</f>
        <v> Cote d'Ivoire </v>
      </c>
      <c r="G19" s="20" t="s">
        <v>68</v>
      </c>
      <c r="H19" s="21" t="s">
        <v>3</v>
      </c>
      <c r="I19" s="6" t="str">
        <f t="shared" si="1"/>
        <v> Argentine </v>
      </c>
      <c r="J19" s="6" t="str">
        <f t="shared" si="2"/>
        <v> Cote d'Ivoire </v>
      </c>
      <c r="L19" s="39"/>
      <c r="M19" s="42" t="s">
        <v>29</v>
      </c>
      <c r="N19" s="42" t="s">
        <v>10</v>
      </c>
      <c r="O19" s="42" t="s">
        <v>11</v>
      </c>
      <c r="P19" s="42" t="s">
        <v>1</v>
      </c>
      <c r="Q19" s="14" t="s">
        <v>7</v>
      </c>
      <c r="R19" s="14" t="s">
        <v>2</v>
      </c>
      <c r="S19" s="14" t="s">
        <v>8</v>
      </c>
      <c r="T19" s="15" t="s">
        <v>30</v>
      </c>
      <c r="BX19" s="47">
        <v>38878.791666666664</v>
      </c>
      <c r="BY19" s="22"/>
      <c r="CE19" s="24"/>
    </row>
    <row r="20" spans="1:83" ht="13.5" thickBot="1">
      <c r="A20" s="2">
        <f>BX20+(VLOOKUP('Group Points'!$E$2,'Group Points'!$D$4:$E$27,2)/24)</f>
        <v>38879.625</v>
      </c>
      <c r="B20" s="3">
        <f>BX20+(VLOOKUP('Group Points'!$E$2,'Group Points'!$D$4:$E$27,2)/24)</f>
        <v>38879.625</v>
      </c>
      <c r="C20" s="4" t="str">
        <f>$V$24</f>
        <v> Serbie-Montenegro </v>
      </c>
      <c r="D20" s="49">
        <v>0</v>
      </c>
      <c r="E20" s="50">
        <v>1</v>
      </c>
      <c r="F20" s="19" t="str">
        <f>$V$25</f>
        <v> Pays-Bas </v>
      </c>
      <c r="G20" s="20" t="s">
        <v>75</v>
      </c>
      <c r="H20" s="21" t="s">
        <v>3</v>
      </c>
      <c r="I20" s="6" t="str">
        <f t="shared" si="1"/>
        <v> Pays-Bas </v>
      </c>
      <c r="J20" s="6" t="str">
        <f t="shared" si="2"/>
        <v> Serbie-Montenegro </v>
      </c>
      <c r="L20" s="40" t="str">
        <f aca="true" t="shared" si="4" ref="L20:T23">BK22</f>
        <v> Argentine </v>
      </c>
      <c r="M20" s="21">
        <f t="shared" si="4"/>
        <v>2</v>
      </c>
      <c r="N20" s="21">
        <f t="shared" si="4"/>
        <v>2</v>
      </c>
      <c r="O20" s="21">
        <f t="shared" si="4"/>
        <v>0</v>
      </c>
      <c r="P20" s="21">
        <f t="shared" si="4"/>
        <v>0</v>
      </c>
      <c r="Q20" s="18">
        <f t="shared" si="4"/>
        <v>8</v>
      </c>
      <c r="R20" s="18">
        <f t="shared" si="4"/>
        <v>1</v>
      </c>
      <c r="S20" s="18">
        <f t="shared" si="4"/>
        <v>7</v>
      </c>
      <c r="T20" s="53">
        <f t="shared" si="4"/>
        <v>6</v>
      </c>
      <c r="V20" s="6" t="s">
        <v>17</v>
      </c>
      <c r="BX20" s="47">
        <v>38879.541666666664</v>
      </c>
      <c r="BY20" s="22"/>
      <c r="CE20" s="24"/>
    </row>
    <row r="21" spans="1:83" ht="13.5" thickBot="1">
      <c r="A21" s="2">
        <f>BX21+(VLOOKUP('Group Points'!$E$2,'Group Points'!$D$4:$E$27,2)/24)</f>
        <v>38884.625</v>
      </c>
      <c r="B21" s="3">
        <f>BX21+(VLOOKUP('Group Points'!$E$2,'Group Points'!$D$4:$E$27,2)/24)</f>
        <v>38884.625</v>
      </c>
      <c r="C21" s="4" t="str">
        <f>$V$22</f>
        <v> Argentine </v>
      </c>
      <c r="D21" s="49">
        <v>6</v>
      </c>
      <c r="E21" s="50">
        <v>0</v>
      </c>
      <c r="F21" s="19" t="str">
        <f>$V$24</f>
        <v> Serbie-Montenegro </v>
      </c>
      <c r="G21" s="20" t="s">
        <v>66</v>
      </c>
      <c r="H21" s="21" t="s">
        <v>3</v>
      </c>
      <c r="I21" s="6" t="str">
        <f t="shared" si="1"/>
        <v> Argentine </v>
      </c>
      <c r="J21" s="6" t="str">
        <f t="shared" si="2"/>
        <v> Serbie-Montenegro </v>
      </c>
      <c r="L21" s="40" t="str">
        <f t="shared" si="4"/>
        <v> Pays-Bas </v>
      </c>
      <c r="M21" s="21">
        <f t="shared" si="4"/>
        <v>2</v>
      </c>
      <c r="N21" s="21">
        <f t="shared" si="4"/>
        <v>2</v>
      </c>
      <c r="O21" s="21">
        <f t="shared" si="4"/>
        <v>0</v>
      </c>
      <c r="P21" s="21">
        <f t="shared" si="4"/>
        <v>0</v>
      </c>
      <c r="Q21" s="18">
        <f t="shared" si="4"/>
        <v>3</v>
      </c>
      <c r="R21" s="18">
        <f t="shared" si="4"/>
        <v>1</v>
      </c>
      <c r="S21" s="18">
        <f t="shared" si="4"/>
        <v>2</v>
      </c>
      <c r="T21" s="53">
        <f t="shared" si="4"/>
        <v>6</v>
      </c>
      <c r="W21" s="6" t="s">
        <v>6</v>
      </c>
      <c r="X21" s="6" t="s">
        <v>10</v>
      </c>
      <c r="Y21" s="6" t="s">
        <v>11</v>
      </c>
      <c r="Z21" s="6" t="s">
        <v>1</v>
      </c>
      <c r="AA21" s="6" t="s">
        <v>7</v>
      </c>
      <c r="AB21" s="6" t="s">
        <v>2</v>
      </c>
      <c r="AC21" s="6" t="s">
        <v>8</v>
      </c>
      <c r="AD21" s="6" t="s">
        <v>9</v>
      </c>
      <c r="BX21" s="47">
        <v>38884.541666666664</v>
      </c>
      <c r="BY21" s="22"/>
      <c r="CE21" s="24"/>
    </row>
    <row r="22" spans="1:83" ht="13.5" thickBot="1">
      <c r="A22" s="2">
        <f>BX22+(VLOOKUP('Group Points'!$E$2,'Group Points'!$D$4:$E$27,2)/24)</f>
        <v>38884.75</v>
      </c>
      <c r="B22" s="3">
        <f>BX22+(VLOOKUP('Group Points'!$E$2,'Group Points'!$D$4:$E$27,2)/24)</f>
        <v>38884.75</v>
      </c>
      <c r="C22" s="4" t="str">
        <f>$V$25</f>
        <v> Pays-Bas </v>
      </c>
      <c r="D22" s="49">
        <v>2</v>
      </c>
      <c r="E22" s="50">
        <v>1</v>
      </c>
      <c r="F22" s="19" t="str">
        <f>$V$23</f>
        <v> Cote d'Ivoire </v>
      </c>
      <c r="G22" s="20" t="s">
        <v>76</v>
      </c>
      <c r="H22" s="21" t="s">
        <v>3</v>
      </c>
      <c r="I22" s="6" t="str">
        <f t="shared" si="1"/>
        <v> Pays-Bas </v>
      </c>
      <c r="J22" s="6" t="str">
        <f t="shared" si="2"/>
        <v> Cote d'Ivoire </v>
      </c>
      <c r="L22" s="40" t="str">
        <f t="shared" si="4"/>
        <v> Cote d'Ivoire </v>
      </c>
      <c r="M22" s="21">
        <f t="shared" si="4"/>
        <v>2</v>
      </c>
      <c r="N22" s="21">
        <f t="shared" si="4"/>
        <v>0</v>
      </c>
      <c r="O22" s="21">
        <f t="shared" si="4"/>
        <v>2</v>
      </c>
      <c r="P22" s="21">
        <f t="shared" si="4"/>
        <v>0</v>
      </c>
      <c r="Q22" s="18">
        <f t="shared" si="4"/>
        <v>2</v>
      </c>
      <c r="R22" s="18">
        <f t="shared" si="4"/>
        <v>4</v>
      </c>
      <c r="S22" s="18">
        <f t="shared" si="4"/>
        <v>-2</v>
      </c>
      <c r="T22" s="53">
        <f t="shared" si="4"/>
        <v>0</v>
      </c>
      <c r="V22" s="6" t="s">
        <v>100</v>
      </c>
      <c r="W22" s="6">
        <f>COUNT(CC1_Played)</f>
        <v>2</v>
      </c>
      <c r="X22" s="6">
        <f>COUNTIF(Groupstage_Winners,V22)</f>
        <v>2</v>
      </c>
      <c r="Y22" s="6">
        <f>COUNTIF(Groupstage_Losers,V22)</f>
        <v>0</v>
      </c>
      <c r="Z22" s="6">
        <f>W22-(X22+Y22)</f>
        <v>0</v>
      </c>
      <c r="AA22" s="6">
        <f>SUM(CC1_Played)</f>
        <v>8</v>
      </c>
      <c r="AB22" s="6">
        <f>SUM(CC1_Against)</f>
        <v>1</v>
      </c>
      <c r="AC22" s="6">
        <f>AA22-AB22</f>
        <v>7</v>
      </c>
      <c r="AD22" s="6">
        <f>X22*Winpoints+Z22*Drawpoints</f>
        <v>6</v>
      </c>
      <c r="AE22" s="6" t="str">
        <f>IF($AD22&gt;=$AD23,$V22,$V23)</f>
        <v> Argentine </v>
      </c>
      <c r="AF22" s="6">
        <f>VLOOKUP($AE22,$V22:$AD25,9,FALSE)</f>
        <v>6</v>
      </c>
      <c r="AG22" s="6" t="str">
        <f>IF($AF22&gt;=$AF24,$AE22,$AE24)</f>
        <v> Argentine </v>
      </c>
      <c r="AH22" s="6">
        <f>VLOOKUP($AG22,$V22:$AD25,9,FALSE)</f>
        <v>6</v>
      </c>
      <c r="AI22" s="6" t="str">
        <f>IF($AH22&gt;=$AH25,$AG22,$AG25)</f>
        <v> Argentine </v>
      </c>
      <c r="AJ22" s="6">
        <f>VLOOKUP($AI22,$V22:$AD25,9,FALSE)</f>
        <v>6</v>
      </c>
      <c r="AK22" s="6">
        <f>VLOOKUP($AI22,$V22:$AD25,8,FALSE)</f>
        <v>7</v>
      </c>
      <c r="AL22" s="6" t="str">
        <f>IF(AND($AJ22=$AJ23,$AK23&gt;$AK22),$AI23,$AI22)</f>
        <v> Argentine </v>
      </c>
      <c r="AM22" s="6">
        <f>VLOOKUP($AL22,$V22:$AD25,9,FALSE)</f>
        <v>6</v>
      </c>
      <c r="AN22" s="6">
        <f>VLOOKUP($AL22,$V22:$AD25,8,FALSE)</f>
        <v>7</v>
      </c>
      <c r="AO22" s="6" t="str">
        <f>IF(AND($AM22=$AM24,$AN24&gt;$AN22),$AL24,$AL22)</f>
        <v> Argentine </v>
      </c>
      <c r="AP22" s="6">
        <f>VLOOKUP($AO22,$V22:$AD25,9,FALSE)</f>
        <v>6</v>
      </c>
      <c r="AQ22" s="6">
        <f>VLOOKUP($AO22,$V22:$AD25,8,FALSE)</f>
        <v>7</v>
      </c>
      <c r="AR22" s="6" t="str">
        <f>IF(AND($AP22=$AP25,$AQ25&gt;$AQ22),$AO25,$AO22)</f>
        <v> Argentine </v>
      </c>
      <c r="AS22" s="6">
        <f>VLOOKUP($AR22,$V22:$AD25,9,FALSE)</f>
        <v>6</v>
      </c>
      <c r="AT22" s="6">
        <f>VLOOKUP($AR22,$V22:$AD25,8,FALSE)</f>
        <v>7</v>
      </c>
      <c r="AU22" s="6">
        <f>VLOOKUP($AR22,$V22:$AD25,6,FALSE)</f>
        <v>8</v>
      </c>
      <c r="AV22" s="6" t="str">
        <f>IF(AND($AS22=$AS23,$AT22=$AT23,$AU23&gt;$AU22),$AR23,$AR22)</f>
        <v> Argentine </v>
      </c>
      <c r="AW22" s="6">
        <f>VLOOKUP($AV22,$V22:$AD25,9,FALSE)</f>
        <v>6</v>
      </c>
      <c r="AX22" s="6">
        <f>VLOOKUP($AV22,$V22:$AD25,8,FALSE)</f>
        <v>7</v>
      </c>
      <c r="AY22" s="6">
        <f>VLOOKUP($AV22,$V22:$AD25,6,FALSE)</f>
        <v>8</v>
      </c>
      <c r="AZ22" s="6" t="str">
        <f>IF(AND($AW22=$AW24,$AX22=$AX24,$AY24&gt;$AY22),$AV24,$AV22)</f>
        <v> Argentine </v>
      </c>
      <c r="BA22" s="6">
        <f>VLOOKUP($AZ22,$V22:$AD25,9,FALSE)</f>
        <v>6</v>
      </c>
      <c r="BB22" s="6">
        <f>VLOOKUP($AZ22,$V22:$AD25,8,FALSE)</f>
        <v>7</v>
      </c>
      <c r="BC22" s="6">
        <f>VLOOKUP($AZ22,$V22:$AD25,6,FALSE)</f>
        <v>8</v>
      </c>
      <c r="BD22" s="6" t="str">
        <f>IF(AND($BA22=$BA25,$BB22=$BB25,$BC25&gt;$BC22),$AZ25,$AZ22)</f>
        <v> Argentine </v>
      </c>
      <c r="BE22" s="6">
        <f>VLOOKUP($BD22,$V22:$AD25,9,FALSE)</f>
        <v>6</v>
      </c>
      <c r="BF22" s="6">
        <f>VLOOKUP($BD22,$V22:$AD25,8,FALSE)</f>
        <v>7</v>
      </c>
      <c r="BG22" s="6">
        <f>VLOOKUP($BD22,$V22:$AD25,6,FALSE)</f>
        <v>8</v>
      </c>
      <c r="BK22" s="6" t="str">
        <f>BD22</f>
        <v> Argentine </v>
      </c>
      <c r="BL22" s="6">
        <f>VLOOKUP($BK22,$V22:$AD25,2,FALSE)</f>
        <v>2</v>
      </c>
      <c r="BM22" s="6">
        <f>VLOOKUP($BK22,$V22:$AD25,3,FALSE)</f>
        <v>2</v>
      </c>
      <c r="BN22" s="6">
        <f>VLOOKUP($BK22,$V22:$AD25,4,FALSE)</f>
        <v>0</v>
      </c>
      <c r="BO22" s="6">
        <f>VLOOKUP($BK22,$V22:$AD25,5,FALSE)</f>
        <v>0</v>
      </c>
      <c r="BP22" s="6">
        <f>VLOOKUP($BK22,$V22:$AD25,6,FALSE)</f>
        <v>8</v>
      </c>
      <c r="BQ22" s="6">
        <f>VLOOKUP($BK22,$V22:$AD25,7,FALSE)</f>
        <v>1</v>
      </c>
      <c r="BR22" s="6">
        <f>VLOOKUP($BK22,$V22:$AD25,8,FALSE)</f>
        <v>7</v>
      </c>
      <c r="BS22" s="6">
        <f>VLOOKUP($BK22,$V22:$AD25,9,FALSE)</f>
        <v>6</v>
      </c>
      <c r="BX22" s="47">
        <v>38884.666666666664</v>
      </c>
      <c r="BY22" s="22"/>
      <c r="CE22" s="24"/>
    </row>
    <row r="23" spans="1:83" ht="13.5" thickBot="1">
      <c r="A23" s="2">
        <f>BX23+(VLOOKUP('Group Points'!$E$2,'Group Points'!$D$4:$E$27,2)/24)</f>
        <v>38889.66666666667</v>
      </c>
      <c r="B23" s="3">
        <f>BX23+(VLOOKUP('Group Points'!$E$2,'Group Points'!$D$4:$E$27,2)/24)</f>
        <v>38889.66666666667</v>
      </c>
      <c r="C23" s="4" t="str">
        <f>$V$25</f>
        <v> Pays-Bas </v>
      </c>
      <c r="D23" s="49"/>
      <c r="E23" s="50"/>
      <c r="F23" s="19" t="str">
        <f>$V$22</f>
        <v> Argentine </v>
      </c>
      <c r="G23" s="20" t="s">
        <v>71</v>
      </c>
      <c r="H23" s="21" t="s">
        <v>3</v>
      </c>
      <c r="I23" s="6">
        <f t="shared" si="1"/>
      </c>
      <c r="J23" s="6">
        <f t="shared" si="2"/>
      </c>
      <c r="L23" s="41" t="str">
        <f t="shared" si="4"/>
        <v> Serbie-Montenegro </v>
      </c>
      <c r="M23" s="44">
        <f t="shared" si="4"/>
        <v>2</v>
      </c>
      <c r="N23" s="44">
        <f t="shared" si="4"/>
        <v>0</v>
      </c>
      <c r="O23" s="44">
        <f t="shared" si="4"/>
        <v>2</v>
      </c>
      <c r="P23" s="44">
        <f t="shared" si="4"/>
        <v>0</v>
      </c>
      <c r="Q23" s="25">
        <f t="shared" si="4"/>
        <v>0</v>
      </c>
      <c r="R23" s="25">
        <f t="shared" si="4"/>
        <v>7</v>
      </c>
      <c r="S23" s="25">
        <f t="shared" si="4"/>
        <v>-7</v>
      </c>
      <c r="T23" s="54">
        <f t="shared" si="4"/>
        <v>0</v>
      </c>
      <c r="V23" s="6" t="s">
        <v>101</v>
      </c>
      <c r="W23" s="6">
        <f>COUNT(CC2_Played)</f>
        <v>2</v>
      </c>
      <c r="X23" s="6">
        <f>COUNTIF(Groupstage_Winners,V23)</f>
        <v>0</v>
      </c>
      <c r="Y23" s="6">
        <f>COUNTIF(Groupstage_Losers,V23)</f>
        <v>2</v>
      </c>
      <c r="Z23" s="6">
        <f>W23-(X23+Y23)</f>
        <v>0</v>
      </c>
      <c r="AA23" s="6">
        <f>SUM(CC2_Played)</f>
        <v>2</v>
      </c>
      <c r="AB23" s="6">
        <f>SUM(CC2_Against)</f>
        <v>4</v>
      </c>
      <c r="AC23" s="6">
        <f>AA23-AB23</f>
        <v>-2</v>
      </c>
      <c r="AD23" s="6">
        <f>X23*Winpoints+Z23*Drawpoints</f>
        <v>0</v>
      </c>
      <c r="AE23" s="6" t="str">
        <f>IF($AD23&lt;=$AD22,$V23,$V22)</f>
        <v> Cote d'Ivoire </v>
      </c>
      <c r="AF23" s="6">
        <f>VLOOKUP($AE23,$V22:$AD25,9,FALSE)</f>
        <v>0</v>
      </c>
      <c r="AG23" s="6" t="str">
        <f>IF(AF23&gt;=AF25,AE23,AE25)</f>
        <v> Cote d'Ivoire </v>
      </c>
      <c r="AH23" s="6">
        <f>VLOOKUP($AG23,$V22:$AD25,9,FALSE)</f>
        <v>0</v>
      </c>
      <c r="AI23" s="6" t="str">
        <f>IF($AH23&gt;=$AH24,$AG23,$AG24)</f>
        <v> Pays-Bas </v>
      </c>
      <c r="AJ23" s="6">
        <f>VLOOKUP($AI23,$V22:$AD25,9,FALSE)</f>
        <v>6</v>
      </c>
      <c r="AK23" s="6">
        <f>VLOOKUP($AI23,$V22:$AD25,8,FALSE)</f>
        <v>2</v>
      </c>
      <c r="AL23" s="6" t="str">
        <f>IF(AND($AJ22=$AJ23,$AK23&gt;$AK22),$AI22,$AI23)</f>
        <v> Pays-Bas </v>
      </c>
      <c r="AM23" s="6">
        <f>VLOOKUP($AL23,$V22:$AD25,9,FALSE)</f>
        <v>6</v>
      </c>
      <c r="AN23" s="6">
        <f>VLOOKUP($AL23,$V22:$AD25,8,FALSE)</f>
        <v>2</v>
      </c>
      <c r="AO23" s="6" t="str">
        <f>IF(AND($AM23=$AM25,$AN25&gt;$AN23),$AL25,$AL23)</f>
        <v> Pays-Bas </v>
      </c>
      <c r="AP23" s="6">
        <f>VLOOKUP($AO23,$V22:$AD25,9,FALSE)</f>
        <v>6</v>
      </c>
      <c r="AQ23" s="6">
        <f>VLOOKUP($AO23,$V22:$AD25,8,FALSE)</f>
        <v>2</v>
      </c>
      <c r="AR23" s="6" t="str">
        <f>IF(AND($AP23=$AP24,$AQ24&gt;$AQ23),$AO24,$AO23)</f>
        <v> Pays-Bas </v>
      </c>
      <c r="AS23" s="6">
        <f>VLOOKUP($AR23,$V22:$AD25,9,FALSE)</f>
        <v>6</v>
      </c>
      <c r="AT23" s="6">
        <f>VLOOKUP($AR23,$V22:$AD25,8,FALSE)</f>
        <v>2</v>
      </c>
      <c r="AU23" s="6">
        <f>VLOOKUP($AR23,$V22:$AD25,6,FALSE)</f>
        <v>3</v>
      </c>
      <c r="AV23" s="6" t="str">
        <f>IF(AND($AS22=$AS23,$AT22=$AT23,$AU23&gt;$AU22),$AR22,$AR23)</f>
        <v> Pays-Bas </v>
      </c>
      <c r="AW23" s="6">
        <f>VLOOKUP($AV23,$V22:$AD25,9,FALSE)</f>
        <v>6</v>
      </c>
      <c r="AX23" s="6">
        <f>VLOOKUP($AV23,$V22:$AD25,8,FALSE)</f>
        <v>2</v>
      </c>
      <c r="AY23" s="6">
        <f>VLOOKUP($AV23,$V22:$AD25,6,FALSE)</f>
        <v>3</v>
      </c>
      <c r="AZ23" s="6" t="str">
        <f>IF(AND($AW23=$AW25,$AX23=$AX25,$AY25&gt;$AY23),$AV25,$AV23)</f>
        <v> Pays-Bas </v>
      </c>
      <c r="BA23" s="6">
        <f>VLOOKUP($AZ23,$V22:$AD25,9,FALSE)</f>
        <v>6</v>
      </c>
      <c r="BB23" s="6">
        <f>VLOOKUP($AZ23,$V22:$AD25,8,FALSE)</f>
        <v>2</v>
      </c>
      <c r="BC23" s="6">
        <f>VLOOKUP($AZ23,$V22:$AD25,6,FALSE)</f>
        <v>3</v>
      </c>
      <c r="BD23" s="6" t="str">
        <f>IF(AND($BA23=$BA24,$BB23=$BB24,$BC24&gt;$BC23),$AZ24,$AZ23)</f>
        <v> Pays-Bas </v>
      </c>
      <c r="BE23" s="6">
        <f>VLOOKUP($BD23,$V22:$AD25,9,FALSE)</f>
        <v>6</v>
      </c>
      <c r="BF23" s="6">
        <f>VLOOKUP($BD23,$V22:$AD25,8,FALSE)</f>
        <v>2</v>
      </c>
      <c r="BG23" s="6">
        <f>VLOOKUP($BD23,$V22:$AD25,6,FALSE)</f>
        <v>3</v>
      </c>
      <c r="BK23" s="6" t="str">
        <f>BD23</f>
        <v> Pays-Bas </v>
      </c>
      <c r="BL23" s="6">
        <f>VLOOKUP($BK23,$V22:$AD25,2,FALSE)</f>
        <v>2</v>
      </c>
      <c r="BM23" s="6">
        <f>VLOOKUP($BK23,$V22:$AD25,3,FALSE)</f>
        <v>2</v>
      </c>
      <c r="BN23" s="6">
        <f>VLOOKUP($BK23,$V22:$AD25,4,FALSE)</f>
        <v>0</v>
      </c>
      <c r="BO23" s="6">
        <f>VLOOKUP($BK23,$V22:$AD25,5,FALSE)</f>
        <v>0</v>
      </c>
      <c r="BP23" s="6">
        <f>VLOOKUP($BK23,$V22:$AD25,6,FALSE)</f>
        <v>3</v>
      </c>
      <c r="BQ23" s="6">
        <f>VLOOKUP($BK23,$V22:$AD25,7,FALSE)</f>
        <v>1</v>
      </c>
      <c r="BR23" s="6">
        <f>VLOOKUP($BK23,$V22:$AD25,8,FALSE)</f>
        <v>2</v>
      </c>
      <c r="BS23" s="6">
        <f>VLOOKUP($BK23,$V22:$AD25,9,FALSE)</f>
        <v>6</v>
      </c>
      <c r="BX23" s="47">
        <v>38889.583333333336</v>
      </c>
      <c r="BY23" s="22"/>
      <c r="CE23" s="24"/>
    </row>
    <row r="24" spans="1:83" ht="13.5" thickBot="1">
      <c r="A24" s="2">
        <f>BX24+(VLOOKUP('Group Points'!$E$2,'Group Points'!$D$4:$E$27,2)/24)</f>
        <v>38889.66666666667</v>
      </c>
      <c r="B24" s="3">
        <f>BX24+(VLOOKUP('Group Points'!$E$2,'Group Points'!$D$4:$E$27,2)/24)</f>
        <v>38889.66666666667</v>
      </c>
      <c r="C24" s="4" t="str">
        <f>$V$23</f>
        <v> Cote d'Ivoire </v>
      </c>
      <c r="D24" s="49"/>
      <c r="E24" s="50"/>
      <c r="F24" s="19" t="str">
        <f>$V$24</f>
        <v> Serbie-Montenegro </v>
      </c>
      <c r="G24" s="20" t="s">
        <v>65</v>
      </c>
      <c r="H24" s="21" t="s">
        <v>3</v>
      </c>
      <c r="I24" s="6">
        <f t="shared" si="1"/>
      </c>
      <c r="J24" s="6">
        <f t="shared" si="2"/>
      </c>
      <c r="V24" s="6" t="s">
        <v>102</v>
      </c>
      <c r="W24" s="6">
        <f>COUNT(CC3_Played)</f>
        <v>2</v>
      </c>
      <c r="X24" s="6">
        <f>COUNTIF(Groupstage_Winners,V24)</f>
        <v>0</v>
      </c>
      <c r="Y24" s="6">
        <f>COUNTIF(Groupstage_Losers,V24)</f>
        <v>2</v>
      </c>
      <c r="Z24" s="6">
        <f>W24-(X24+Y24)</f>
        <v>0</v>
      </c>
      <c r="AA24" s="6">
        <f>SUM(CC3_Played)</f>
        <v>0</v>
      </c>
      <c r="AB24" s="6">
        <f>SUM(CC3_Against)</f>
        <v>7</v>
      </c>
      <c r="AC24" s="6">
        <f>AA24-AB24</f>
        <v>-7</v>
      </c>
      <c r="AD24" s="6">
        <f>X24*Winpoints+Z24*Drawpoints</f>
        <v>0</v>
      </c>
      <c r="AE24" s="6" t="str">
        <f>IF($AD24&gt;=$AD25,$V24,$V25)</f>
        <v> Pays-Bas </v>
      </c>
      <c r="AF24" s="6">
        <f>VLOOKUP($AE24,$V22:$AD25,9,FALSE)</f>
        <v>6</v>
      </c>
      <c r="AG24" s="6" t="str">
        <f>IF($AF24&lt;=$AF22,$AE24,$AE22)</f>
        <v> Pays-Bas </v>
      </c>
      <c r="AH24" s="6">
        <f>VLOOKUP($AG24,$V22:$AD25,9,FALSE)</f>
        <v>6</v>
      </c>
      <c r="AI24" s="6" t="str">
        <f>IF($AH24&lt;=$AH23,$AG24,$AG23)</f>
        <v> Cote d'Ivoire </v>
      </c>
      <c r="AJ24" s="6">
        <f>VLOOKUP($AI24,$V22:$AD25,9,FALSE)</f>
        <v>0</v>
      </c>
      <c r="AK24" s="6">
        <f>VLOOKUP($AI24,$V22:$AD25,8,FALSE)</f>
        <v>-2</v>
      </c>
      <c r="AL24" s="6" t="str">
        <f>IF(AND($AJ24=$AJ25,$AK25&gt;$AK24),$AI25,$AI24)</f>
        <v> Cote d'Ivoire </v>
      </c>
      <c r="AM24" s="6">
        <f>VLOOKUP($AL24,$V22:$AD25,9,FALSE)</f>
        <v>0</v>
      </c>
      <c r="AN24" s="6">
        <f>VLOOKUP($AL24,$V22:$AD25,8,FALSE)</f>
        <v>-2</v>
      </c>
      <c r="AO24" s="6" t="str">
        <f>IF(AND($AM22=$AM24,$AN24&gt;$AN22),$AL22,$AL24)</f>
        <v> Cote d'Ivoire </v>
      </c>
      <c r="AP24" s="6">
        <f>VLOOKUP($AO24,$V22:$AD25,9,FALSE)</f>
        <v>0</v>
      </c>
      <c r="AQ24" s="6">
        <f>VLOOKUP($AO24,$V22:$AD25,8,FALSE)</f>
        <v>-2</v>
      </c>
      <c r="AR24" s="6" t="str">
        <f>IF(AND($AP23=$AP24,$AQ24&gt;$AQ23),$AO23,$AO24)</f>
        <v> Cote d'Ivoire </v>
      </c>
      <c r="AS24" s="6">
        <f>VLOOKUP($AR24,$V22:$AD25,9,FALSE)</f>
        <v>0</v>
      </c>
      <c r="AT24" s="6">
        <f>VLOOKUP($AR24,$V22:$AD25,8,FALSE)</f>
        <v>-2</v>
      </c>
      <c r="AU24" s="6">
        <f>VLOOKUP($AR24,$V22:$AD25,6,FALSE)</f>
        <v>2</v>
      </c>
      <c r="AV24" s="6" t="str">
        <f>IF(AND($AS24=$AS25,$AT24=$AT25,$AU25&gt;$AU24),$AR25,$AR24)</f>
        <v> Cote d'Ivoire </v>
      </c>
      <c r="AW24" s="6">
        <f>VLOOKUP($AV24,$V22:$AD25,9,FALSE)</f>
        <v>0</v>
      </c>
      <c r="AX24" s="6">
        <f>VLOOKUP($AV24,$V22:$AD25,8,FALSE)</f>
        <v>-2</v>
      </c>
      <c r="AY24" s="6">
        <f>VLOOKUP($AV24,$V22:$AD25,6,FALSE)</f>
        <v>2</v>
      </c>
      <c r="AZ24" s="6" t="str">
        <f>IF(AND($AW22=$AW24,$AX22=$AX24,$AY24&gt;$AY22),$AV22,$AV24)</f>
        <v> Cote d'Ivoire </v>
      </c>
      <c r="BA24" s="6">
        <f>VLOOKUP($AZ24,$V22:$AD25,9,FALSE)</f>
        <v>0</v>
      </c>
      <c r="BB24" s="6">
        <f>VLOOKUP($AZ24,$V22:$AD25,8,FALSE)</f>
        <v>-2</v>
      </c>
      <c r="BC24" s="6">
        <f>VLOOKUP($AZ24,$V22:$AD25,6,FALSE)</f>
        <v>2</v>
      </c>
      <c r="BD24" s="6" t="str">
        <f>IF(AND($BA23=$BA24,$BB23=$BB24,$BC24&gt;$BC23),$AZ23,$AZ24)</f>
        <v> Cote d'Ivoire </v>
      </c>
      <c r="BE24" s="6">
        <f>VLOOKUP($BD24,$V22:$AD25,9,FALSE)</f>
        <v>0</v>
      </c>
      <c r="BF24" s="6">
        <f>VLOOKUP($BD24,$V22:$AD25,8,FALSE)</f>
        <v>-2</v>
      </c>
      <c r="BG24" s="6">
        <f>VLOOKUP($BD24,$V22:$AD25,6,FALSE)</f>
        <v>2</v>
      </c>
      <c r="BK24" s="6" t="str">
        <f>BD24</f>
        <v> Cote d'Ivoire </v>
      </c>
      <c r="BL24" s="6">
        <f>VLOOKUP($BK24,$V22:$AD25,2,FALSE)</f>
        <v>2</v>
      </c>
      <c r="BM24" s="6">
        <f>VLOOKUP($BK24,$V22:$AD25,3,FALSE)</f>
        <v>0</v>
      </c>
      <c r="BN24" s="6">
        <f>VLOOKUP($BK24,$V22:$AD25,4,FALSE)</f>
        <v>2</v>
      </c>
      <c r="BO24" s="6">
        <f>VLOOKUP($BK24,$V22:$AD25,5,FALSE)</f>
        <v>0</v>
      </c>
      <c r="BP24" s="6">
        <f>VLOOKUP($BK24,$V22:$AD25,6,FALSE)</f>
        <v>2</v>
      </c>
      <c r="BQ24" s="6">
        <f>VLOOKUP($BK24,$V22:$AD25,7,FALSE)</f>
        <v>4</v>
      </c>
      <c r="BR24" s="6">
        <f>VLOOKUP($BK24,$V22:$AD25,8,FALSE)</f>
        <v>-2</v>
      </c>
      <c r="BS24" s="6">
        <f>VLOOKUP($BK24,$V22:$AD25,9,FALSE)</f>
        <v>0</v>
      </c>
      <c r="BX24" s="47">
        <v>38889.583333333336</v>
      </c>
      <c r="BY24" s="22"/>
      <c r="CE24" s="24"/>
    </row>
    <row r="25" spans="1:83" ht="15.75" thickBot="1">
      <c r="A25" s="2">
        <f>BX25+(VLOOKUP('Group Points'!$E$2,'Group Points'!$D$4:$E$27,2)/24)</f>
        <v>38879.75</v>
      </c>
      <c r="B25" s="3">
        <f>BX25+(VLOOKUP('Group Points'!$E$2,'Group Points'!$D$4:$E$27,2)/24)</f>
        <v>38879.75</v>
      </c>
      <c r="C25" s="4" t="str">
        <f>$V$29</f>
        <v> Mexique </v>
      </c>
      <c r="D25" s="49">
        <v>3</v>
      </c>
      <c r="E25" s="50">
        <v>1</v>
      </c>
      <c r="F25" s="19" t="str">
        <f>$V$30</f>
        <v> Iran </v>
      </c>
      <c r="G25" s="20" t="s">
        <v>72</v>
      </c>
      <c r="H25" s="21" t="s">
        <v>1</v>
      </c>
      <c r="I25" s="6" t="str">
        <f t="shared" si="1"/>
        <v> Mexique </v>
      </c>
      <c r="J25" s="6" t="str">
        <f t="shared" si="2"/>
        <v> Iran </v>
      </c>
      <c r="L25" s="37" t="s">
        <v>83</v>
      </c>
      <c r="M25" s="43"/>
      <c r="N25" s="43"/>
      <c r="O25" s="43"/>
      <c r="P25" s="43"/>
      <c r="Q25" s="38"/>
      <c r="R25" s="38"/>
      <c r="S25" s="38"/>
      <c r="T25" s="9"/>
      <c r="V25" s="6" t="s">
        <v>103</v>
      </c>
      <c r="W25" s="6">
        <f>COUNT(CC4_Played)</f>
        <v>2</v>
      </c>
      <c r="X25" s="6">
        <f>COUNTIF(Groupstage_Winners,V25)</f>
        <v>2</v>
      </c>
      <c r="Y25" s="6">
        <f>COUNTIF(Groupstage_Losers,V25)</f>
        <v>0</v>
      </c>
      <c r="Z25" s="6">
        <f>W25-(X25+Y25)</f>
        <v>0</v>
      </c>
      <c r="AA25" s="6">
        <f>SUM(CC4_Played)</f>
        <v>3</v>
      </c>
      <c r="AB25" s="6">
        <f>SUM(CC4_Against)</f>
        <v>1</v>
      </c>
      <c r="AC25" s="6">
        <f>AA25-AB25</f>
        <v>2</v>
      </c>
      <c r="AD25" s="6">
        <f>X25*Winpoints+Z25*Drawpoints</f>
        <v>6</v>
      </c>
      <c r="AE25" s="6" t="str">
        <f>IF($AD25&lt;=$AD24,$V25,$V24)</f>
        <v> Serbie-Montenegro </v>
      </c>
      <c r="AF25" s="6">
        <f>VLOOKUP($AE25,$V22:$AD25,9,FALSE)</f>
        <v>0</v>
      </c>
      <c r="AG25" s="6" t="str">
        <f>IF(AF25&lt;=AF23,AE25,AE23)</f>
        <v> Serbie-Montenegro </v>
      </c>
      <c r="AH25" s="6">
        <f>VLOOKUP($AG25,$V22:$AD25,9,FALSE)</f>
        <v>0</v>
      </c>
      <c r="AI25" s="6" t="str">
        <f>IF($AH25&lt;=$AH22,$AG25,$AG22)</f>
        <v> Serbie-Montenegro </v>
      </c>
      <c r="AJ25" s="6">
        <f>VLOOKUP($AI25,$V22:$AD25,9,FALSE)</f>
        <v>0</v>
      </c>
      <c r="AK25" s="6">
        <f>VLOOKUP($AI25,$V22:$AD25,8,FALSE)</f>
        <v>-7</v>
      </c>
      <c r="AL25" s="6" t="str">
        <f>IF(AND($AJ24=$AJ25,$AK25&gt;$AK24),$AI24,$AI25)</f>
        <v> Serbie-Montenegro </v>
      </c>
      <c r="AM25" s="6">
        <f>VLOOKUP($AL25,$V22:$AD25,9,FALSE)</f>
        <v>0</v>
      </c>
      <c r="AN25" s="6">
        <f>VLOOKUP($AL25,$V22:$AD25,8,FALSE)</f>
        <v>-7</v>
      </c>
      <c r="AO25" s="6" t="str">
        <f>IF(AND($AM23=$AM25,$AN25&gt;$AN23),$AL23,$AL25)</f>
        <v> Serbie-Montenegro </v>
      </c>
      <c r="AP25" s="6">
        <f>VLOOKUP($AO25,$V22:$AD25,9,FALSE)</f>
        <v>0</v>
      </c>
      <c r="AQ25" s="6">
        <f>VLOOKUP($AO25,$V22:$AD25,8,FALSE)</f>
        <v>-7</v>
      </c>
      <c r="AR25" s="6" t="str">
        <f>IF(AND($AP22=$AP25,$AQ25&gt;$AQ22),$AO22,$AO25)</f>
        <v> Serbie-Montenegro </v>
      </c>
      <c r="AS25" s="6">
        <f>VLOOKUP($AR25,$V22:$AD25,9,FALSE)</f>
        <v>0</v>
      </c>
      <c r="AT25" s="6">
        <f>VLOOKUP($AR25,$V22:$AD25,8,FALSE)</f>
        <v>-7</v>
      </c>
      <c r="AU25" s="6">
        <f>VLOOKUP($AR25,$V22:$AD25,6,FALSE)</f>
        <v>0</v>
      </c>
      <c r="AV25" s="6" t="str">
        <f>IF(AND($AS24=$AS25,$AT24=$AT25,$AU25&gt;$AU24),$AR24,$AR25)</f>
        <v> Serbie-Montenegro </v>
      </c>
      <c r="AW25" s="6">
        <f>VLOOKUP($AV25,$V22:$AD25,9,FALSE)</f>
        <v>0</v>
      </c>
      <c r="AX25" s="6">
        <f>VLOOKUP($AV25,$V22:$AD25,8,FALSE)</f>
        <v>-7</v>
      </c>
      <c r="AY25" s="6">
        <f>VLOOKUP($AV25,$V22:$AD25,6,FALSE)</f>
        <v>0</v>
      </c>
      <c r="AZ25" s="6" t="str">
        <f>IF(AND($AW23=$AW25,$AX23=$AX25,$AY25&gt;$AY23),$AV23,$AV25)</f>
        <v> Serbie-Montenegro </v>
      </c>
      <c r="BA25" s="6">
        <f>VLOOKUP($AZ25,$V22:$AD25,9,FALSE)</f>
        <v>0</v>
      </c>
      <c r="BB25" s="6">
        <f>VLOOKUP($AZ25,$V22:$AD25,8,FALSE)</f>
        <v>-7</v>
      </c>
      <c r="BC25" s="6">
        <f>VLOOKUP($AZ25,$V22:$AD25,6,FALSE)</f>
        <v>0</v>
      </c>
      <c r="BD25" s="6" t="str">
        <f>IF(AND($BA22=$BA25,$BB22=$BB25,$BC25&gt;$BC22),$AZ22,$AZ25)</f>
        <v> Serbie-Montenegro </v>
      </c>
      <c r="BE25" s="6">
        <f>VLOOKUP($BD25,$V22:$AD25,9,FALSE)</f>
        <v>0</v>
      </c>
      <c r="BF25" s="6">
        <f>VLOOKUP($BD25,$V22:$AD25,8,FALSE)</f>
        <v>-7</v>
      </c>
      <c r="BG25" s="6">
        <f>VLOOKUP($BD25,$V22:$AD25,6,FALSE)</f>
        <v>0</v>
      </c>
      <c r="BK25" s="6" t="str">
        <f>BD25</f>
        <v> Serbie-Montenegro </v>
      </c>
      <c r="BL25" s="6">
        <f>VLOOKUP($BK25,$V22:$AD25,2,FALSE)</f>
        <v>2</v>
      </c>
      <c r="BM25" s="6">
        <f>VLOOKUP($BK25,$V22:$AD25,3,FALSE)</f>
        <v>0</v>
      </c>
      <c r="BN25" s="6">
        <f>VLOOKUP($BK25,$V22:$AD25,4,FALSE)</f>
        <v>2</v>
      </c>
      <c r="BO25" s="6">
        <f>VLOOKUP($BK25,$V22:$AD25,5,FALSE)</f>
        <v>0</v>
      </c>
      <c r="BP25" s="6">
        <f>VLOOKUP($BK25,$V22:$AD25,6,FALSE)</f>
        <v>0</v>
      </c>
      <c r="BQ25" s="6">
        <f>VLOOKUP($BK25,$V22:$AD25,7,FALSE)</f>
        <v>7</v>
      </c>
      <c r="BR25" s="6">
        <f>VLOOKUP($BK25,$V22:$AD25,8,FALSE)</f>
        <v>-7</v>
      </c>
      <c r="BS25" s="6">
        <f>VLOOKUP($BK25,$V22:$AD25,9,FALSE)</f>
        <v>0</v>
      </c>
      <c r="BX25" s="47">
        <v>38879.666666666664</v>
      </c>
      <c r="BY25" s="22"/>
      <c r="CE25" s="24"/>
    </row>
    <row r="26" spans="1:83" ht="13.5" thickBot="1">
      <c r="A26" s="2">
        <f>BX26+(VLOOKUP('Group Points'!$E$2,'Group Points'!$D$4:$E$27,2)/24)</f>
        <v>38879.875</v>
      </c>
      <c r="B26" s="3">
        <f>BX26+(VLOOKUP('Group Points'!$E$2,'Group Points'!$D$4:$E$27,2)/24)</f>
        <v>38879.875</v>
      </c>
      <c r="C26" s="4" t="str">
        <f>$V$31</f>
        <v> Angola </v>
      </c>
      <c r="D26" s="49">
        <v>0</v>
      </c>
      <c r="E26" s="50">
        <v>1</v>
      </c>
      <c r="F26" s="19" t="str">
        <f>$V$32</f>
        <v> Portugal </v>
      </c>
      <c r="G26" s="20" t="s">
        <v>73</v>
      </c>
      <c r="H26" s="21" t="s">
        <v>1</v>
      </c>
      <c r="I26" s="6" t="str">
        <f t="shared" si="1"/>
        <v> Portugal </v>
      </c>
      <c r="J26" s="6" t="str">
        <f t="shared" si="2"/>
        <v> Angola </v>
      </c>
      <c r="L26" s="39"/>
      <c r="M26" s="42" t="s">
        <v>29</v>
      </c>
      <c r="N26" s="42" t="s">
        <v>10</v>
      </c>
      <c r="O26" s="42" t="s">
        <v>11</v>
      </c>
      <c r="P26" s="42" t="s">
        <v>1</v>
      </c>
      <c r="Q26" s="14" t="s">
        <v>7</v>
      </c>
      <c r="R26" s="14" t="s">
        <v>2</v>
      </c>
      <c r="S26" s="14" t="s">
        <v>8</v>
      </c>
      <c r="T26" s="15" t="s">
        <v>30</v>
      </c>
      <c r="BX26" s="47">
        <v>38879.791666666664</v>
      </c>
      <c r="BY26" s="22"/>
      <c r="CE26" s="24"/>
    </row>
    <row r="27" spans="1:83" ht="13.5" thickBot="1">
      <c r="A27" s="2">
        <f>BX27+(VLOOKUP('Group Points'!$E$2,'Group Points'!$D$4:$E$27,2)/24)</f>
        <v>38884.875</v>
      </c>
      <c r="B27" s="3">
        <f>BX27+(VLOOKUP('Group Points'!$E$2,'Group Points'!$D$4:$E$27,2)/24)</f>
        <v>38884.875</v>
      </c>
      <c r="C27" s="4" t="str">
        <f>$V$29</f>
        <v> Mexique </v>
      </c>
      <c r="D27" s="49">
        <v>0</v>
      </c>
      <c r="E27" s="50">
        <v>0</v>
      </c>
      <c r="F27" s="19" t="str">
        <f>$V$31</f>
        <v> Angola </v>
      </c>
      <c r="G27" s="20" t="s">
        <v>70</v>
      </c>
      <c r="H27" s="21" t="s">
        <v>1</v>
      </c>
      <c r="I27" s="6" t="str">
        <f t="shared" si="1"/>
        <v>Draw</v>
      </c>
      <c r="J27" s="6" t="str">
        <f t="shared" si="2"/>
        <v>Draw</v>
      </c>
      <c r="L27" s="40" t="str">
        <f aca="true" t="shared" si="5" ref="L27:T30">BK29</f>
        <v> Portugal </v>
      </c>
      <c r="M27" s="21">
        <f t="shared" si="5"/>
        <v>2</v>
      </c>
      <c r="N27" s="21">
        <f t="shared" si="5"/>
        <v>2</v>
      </c>
      <c r="O27" s="21">
        <f t="shared" si="5"/>
        <v>0</v>
      </c>
      <c r="P27" s="21">
        <f t="shared" si="5"/>
        <v>0</v>
      </c>
      <c r="Q27" s="18">
        <f t="shared" si="5"/>
        <v>3</v>
      </c>
      <c r="R27" s="18">
        <f t="shared" si="5"/>
        <v>0</v>
      </c>
      <c r="S27" s="18">
        <f t="shared" si="5"/>
        <v>3</v>
      </c>
      <c r="T27" s="53">
        <f t="shared" si="5"/>
        <v>6</v>
      </c>
      <c r="V27" s="6" t="s">
        <v>18</v>
      </c>
      <c r="BX27" s="47">
        <v>38884.791666666664</v>
      </c>
      <c r="BY27" s="22"/>
      <c r="CE27" s="24"/>
    </row>
    <row r="28" spans="1:83" ht="13.5" thickBot="1">
      <c r="A28" s="2">
        <f>BX28+(VLOOKUP('Group Points'!$E$2,'Group Points'!$D$4:$E$27,2)/24)</f>
        <v>38885.625</v>
      </c>
      <c r="B28" s="3">
        <f>BX28+(VLOOKUP('Group Points'!$E$2,'Group Points'!$D$4:$E$27,2)/24)</f>
        <v>38885.625</v>
      </c>
      <c r="C28" s="4" t="str">
        <f>$V$32</f>
        <v> Portugal </v>
      </c>
      <c r="D28" s="49">
        <v>2</v>
      </c>
      <c r="E28" s="50">
        <v>0</v>
      </c>
      <c r="F28" s="19" t="str">
        <f>$V$30</f>
        <v> Iran </v>
      </c>
      <c r="G28" s="20" t="s">
        <v>71</v>
      </c>
      <c r="H28" s="21" t="s">
        <v>1</v>
      </c>
      <c r="I28" s="6" t="str">
        <f t="shared" si="1"/>
        <v> Portugal </v>
      </c>
      <c r="J28" s="6" t="str">
        <f t="shared" si="2"/>
        <v> Iran </v>
      </c>
      <c r="L28" s="40" t="str">
        <f t="shared" si="5"/>
        <v> Mexique </v>
      </c>
      <c r="M28" s="21">
        <f t="shared" si="5"/>
        <v>2</v>
      </c>
      <c r="N28" s="21">
        <f t="shared" si="5"/>
        <v>1</v>
      </c>
      <c r="O28" s="21">
        <f t="shared" si="5"/>
        <v>0</v>
      </c>
      <c r="P28" s="21">
        <f t="shared" si="5"/>
        <v>1</v>
      </c>
      <c r="Q28" s="18">
        <f t="shared" si="5"/>
        <v>3</v>
      </c>
      <c r="R28" s="18">
        <f t="shared" si="5"/>
        <v>1</v>
      </c>
      <c r="S28" s="18">
        <f t="shared" si="5"/>
        <v>2</v>
      </c>
      <c r="T28" s="53">
        <f t="shared" si="5"/>
        <v>4</v>
      </c>
      <c r="W28" s="6" t="s">
        <v>6</v>
      </c>
      <c r="X28" s="6" t="s">
        <v>10</v>
      </c>
      <c r="Y28" s="6" t="s">
        <v>11</v>
      </c>
      <c r="Z28" s="6" t="s">
        <v>1</v>
      </c>
      <c r="AA28" s="6" t="s">
        <v>7</v>
      </c>
      <c r="AB28" s="6" t="s">
        <v>2</v>
      </c>
      <c r="AC28" s="6" t="s">
        <v>8</v>
      </c>
      <c r="AD28" s="6" t="s">
        <v>9</v>
      </c>
      <c r="BX28" s="47">
        <v>38885.541666666664</v>
      </c>
      <c r="BY28" s="22"/>
      <c r="CE28" s="24"/>
    </row>
    <row r="29" spans="1:83" ht="13.5" thickBot="1">
      <c r="A29" s="2">
        <f>BX29+(VLOOKUP('Group Points'!$E$2,'Group Points'!$D$4:$E$27,2)/24)</f>
        <v>38889.875</v>
      </c>
      <c r="B29" s="3">
        <f>BX29+(VLOOKUP('Group Points'!$E$2,'Group Points'!$D$4:$E$27,2)/24)</f>
        <v>38889.875</v>
      </c>
      <c r="C29" s="4" t="str">
        <f>$V$32</f>
        <v> Portugal </v>
      </c>
      <c r="D29" s="49"/>
      <c r="E29" s="50"/>
      <c r="F29" s="19" t="str">
        <f>$V$29</f>
        <v> Mexique </v>
      </c>
      <c r="G29" s="20" t="s">
        <v>66</v>
      </c>
      <c r="H29" s="21" t="s">
        <v>1</v>
      </c>
      <c r="I29" s="6">
        <f t="shared" si="1"/>
      </c>
      <c r="J29" s="6">
        <f t="shared" si="2"/>
      </c>
      <c r="L29" s="40" t="str">
        <f t="shared" si="5"/>
        <v> Angola </v>
      </c>
      <c r="M29" s="21">
        <f t="shared" si="5"/>
        <v>2</v>
      </c>
      <c r="N29" s="21">
        <f t="shared" si="5"/>
        <v>0</v>
      </c>
      <c r="O29" s="21">
        <f t="shared" si="5"/>
        <v>1</v>
      </c>
      <c r="P29" s="21">
        <f t="shared" si="5"/>
        <v>1</v>
      </c>
      <c r="Q29" s="18">
        <f t="shared" si="5"/>
        <v>0</v>
      </c>
      <c r="R29" s="18">
        <f t="shared" si="5"/>
        <v>1</v>
      </c>
      <c r="S29" s="18">
        <f t="shared" si="5"/>
        <v>-1</v>
      </c>
      <c r="T29" s="53">
        <f t="shared" si="5"/>
        <v>1</v>
      </c>
      <c r="V29" s="6" t="s">
        <v>104</v>
      </c>
      <c r="W29" s="6">
        <f>COUNT(D1_Played)</f>
        <v>2</v>
      </c>
      <c r="X29" s="6">
        <f>COUNTIF(Groupstage_Winners,V29)</f>
        <v>1</v>
      </c>
      <c r="Y29" s="6">
        <f>COUNTIF(Groupstage_Losers,V29)</f>
        <v>0</v>
      </c>
      <c r="Z29" s="6">
        <f>W29-(X29+Y29)</f>
        <v>1</v>
      </c>
      <c r="AA29" s="6">
        <f>SUM(D1_Played)</f>
        <v>3</v>
      </c>
      <c r="AB29" s="6">
        <f>SUM(D1_Against)</f>
        <v>1</v>
      </c>
      <c r="AC29" s="6">
        <f>AA29-AB29</f>
        <v>2</v>
      </c>
      <c r="AD29" s="6">
        <f>X29*Winpoints+Z29*Drawpoints</f>
        <v>4</v>
      </c>
      <c r="AE29" s="6" t="str">
        <f>IF($AD29&gt;=$AD30,$V29,$V30)</f>
        <v> Mexique </v>
      </c>
      <c r="AF29" s="6">
        <f>VLOOKUP($AE29,$V29:$AD32,9,FALSE)</f>
        <v>4</v>
      </c>
      <c r="AG29" s="6" t="str">
        <f>IF($AF29&gt;=$AF31,$AE29,$AE31)</f>
        <v> Portugal </v>
      </c>
      <c r="AH29" s="6">
        <f>VLOOKUP($AG29,$V29:$AD32,9,FALSE)</f>
        <v>6</v>
      </c>
      <c r="AI29" s="6" t="str">
        <f>IF($AH29&gt;=$AH32,$AG29,$AG32)</f>
        <v> Portugal </v>
      </c>
      <c r="AJ29" s="6">
        <f>VLOOKUP($AI29,$V29:$AD32,9,FALSE)</f>
        <v>6</v>
      </c>
      <c r="AK29" s="6">
        <f>VLOOKUP($AI29,$V29:$AD32,8,FALSE)</f>
        <v>3</v>
      </c>
      <c r="AL29" s="6" t="str">
        <f>IF(AND($AJ29=$AJ30,$AK30&gt;$AK29),$AI30,$AI29)</f>
        <v> Portugal </v>
      </c>
      <c r="AM29" s="6">
        <f>VLOOKUP($AL29,$V29:$AD32,9,FALSE)</f>
        <v>6</v>
      </c>
      <c r="AN29" s="6">
        <f>VLOOKUP($AL29,$V29:$AD32,8,FALSE)</f>
        <v>3</v>
      </c>
      <c r="AO29" s="6" t="str">
        <f>IF(AND($AM29=$AM31,$AN31&gt;$AN29),$AL31,$AL29)</f>
        <v> Portugal </v>
      </c>
      <c r="AP29" s="6">
        <f>VLOOKUP($AO29,$V29:$AD32,9,FALSE)</f>
        <v>6</v>
      </c>
      <c r="AQ29" s="6">
        <f>VLOOKUP($AO29,$V29:$AD32,8,FALSE)</f>
        <v>3</v>
      </c>
      <c r="AR29" s="6" t="str">
        <f>IF(AND($AP29=$AP32,$AQ32&gt;$AQ29),$AO32,$AO29)</f>
        <v> Portugal </v>
      </c>
      <c r="AS29" s="6">
        <f>VLOOKUP($AR29,$V29:$AD32,9,FALSE)</f>
        <v>6</v>
      </c>
      <c r="AT29" s="6">
        <f>VLOOKUP($AR29,$V29:$AD32,8,FALSE)</f>
        <v>3</v>
      </c>
      <c r="AU29" s="6">
        <f>VLOOKUP($AR29,$V29:$AD32,6,FALSE)</f>
        <v>3</v>
      </c>
      <c r="AV29" s="6" t="str">
        <f>IF(AND($AS29=$AS30,$AT29=$AT30,$AU30&gt;$AU29),$AR30,$AR29)</f>
        <v> Portugal </v>
      </c>
      <c r="AW29" s="6">
        <f>VLOOKUP($AV29,$V29:$AD32,9,FALSE)</f>
        <v>6</v>
      </c>
      <c r="AX29" s="6">
        <f>VLOOKUP($AV29,$V29:$AD32,8,FALSE)</f>
        <v>3</v>
      </c>
      <c r="AY29" s="6">
        <f>VLOOKUP($AV29,$V29:$AD32,6,FALSE)</f>
        <v>3</v>
      </c>
      <c r="AZ29" s="6" t="str">
        <f>IF(AND($AW29=$AW31,$AX29=$AX31,$AY31&gt;$AY29),$AV31,$AV29)</f>
        <v> Portugal </v>
      </c>
      <c r="BA29" s="6">
        <f>VLOOKUP($AZ29,$V29:$AD32,9,FALSE)</f>
        <v>6</v>
      </c>
      <c r="BB29" s="6">
        <f>VLOOKUP($AZ29,$V29:$AD32,8,FALSE)</f>
        <v>3</v>
      </c>
      <c r="BC29" s="6">
        <f>VLOOKUP($AZ29,$V29:$AD32,6,FALSE)</f>
        <v>3</v>
      </c>
      <c r="BD29" s="6" t="str">
        <f>IF(AND($BA29=$BA32,$BB29=$BB32,$BC32&gt;$BC29),$AZ32,$AZ29)</f>
        <v> Portugal </v>
      </c>
      <c r="BE29" s="6">
        <f>VLOOKUP($BD29,$V29:$AD32,9,FALSE)</f>
        <v>6</v>
      </c>
      <c r="BF29" s="6">
        <f>VLOOKUP($BD29,$V29:$AD32,8,FALSE)</f>
        <v>3</v>
      </c>
      <c r="BG29" s="6">
        <f>VLOOKUP($BD29,$V29:$AD32,6,FALSE)</f>
        <v>3</v>
      </c>
      <c r="BK29" s="6" t="str">
        <f>BD29</f>
        <v> Portugal </v>
      </c>
      <c r="BL29" s="6">
        <f>VLOOKUP($BK29,$V29:$AD32,2,FALSE)</f>
        <v>2</v>
      </c>
      <c r="BM29" s="6">
        <f>VLOOKUP($BK29,$V29:$AD32,3,FALSE)</f>
        <v>2</v>
      </c>
      <c r="BN29" s="6">
        <f>VLOOKUP($BK29,$V29:$AD32,4,FALSE)</f>
        <v>0</v>
      </c>
      <c r="BO29" s="6">
        <f>VLOOKUP($BK29,$V29:$AD32,5,FALSE)</f>
        <v>0</v>
      </c>
      <c r="BP29" s="6">
        <f>VLOOKUP($BK29,$V29:$AD32,6,FALSE)</f>
        <v>3</v>
      </c>
      <c r="BQ29" s="6">
        <f>VLOOKUP($BK29,$V29:$AD32,7,FALSE)</f>
        <v>0</v>
      </c>
      <c r="BR29" s="6">
        <f>VLOOKUP($BK29,$V29:$AD32,8,FALSE)</f>
        <v>3</v>
      </c>
      <c r="BS29" s="6">
        <f>VLOOKUP($BK29,$V29:$AD32,9,FALSE)</f>
        <v>6</v>
      </c>
      <c r="BX29" s="47">
        <v>38889.791666666664</v>
      </c>
      <c r="BY29" s="22"/>
      <c r="CE29" s="24"/>
    </row>
    <row r="30" spans="1:83" ht="13.5" thickBot="1">
      <c r="A30" s="2">
        <f>BX30+(VLOOKUP('Group Points'!$E$2,'Group Points'!$D$4:$E$27,2)/24)</f>
        <v>38889.875</v>
      </c>
      <c r="B30" s="3">
        <f>BX30+(VLOOKUP('Group Points'!$E$2,'Group Points'!$D$4:$E$27,2)/24)</f>
        <v>38889.875</v>
      </c>
      <c r="C30" s="4" t="str">
        <f>$V$30</f>
        <v> Iran </v>
      </c>
      <c r="D30" s="49"/>
      <c r="E30" s="50"/>
      <c r="F30" s="19" t="str">
        <f>$V$31</f>
        <v> Angola </v>
      </c>
      <c r="G30" s="20" t="s">
        <v>75</v>
      </c>
      <c r="H30" s="21" t="s">
        <v>1</v>
      </c>
      <c r="I30" s="6">
        <f t="shared" si="1"/>
      </c>
      <c r="J30" s="6">
        <f t="shared" si="2"/>
      </c>
      <c r="L30" s="41" t="str">
        <f t="shared" si="5"/>
        <v> Iran </v>
      </c>
      <c r="M30" s="44">
        <f t="shared" si="5"/>
        <v>2</v>
      </c>
      <c r="N30" s="44">
        <f t="shared" si="5"/>
        <v>0</v>
      </c>
      <c r="O30" s="44">
        <f t="shared" si="5"/>
        <v>2</v>
      </c>
      <c r="P30" s="44">
        <f t="shared" si="5"/>
        <v>0</v>
      </c>
      <c r="Q30" s="25">
        <f t="shared" si="5"/>
        <v>1</v>
      </c>
      <c r="R30" s="25">
        <f t="shared" si="5"/>
        <v>5</v>
      </c>
      <c r="S30" s="25">
        <f t="shared" si="5"/>
        <v>-4</v>
      </c>
      <c r="T30" s="54">
        <f t="shared" si="5"/>
        <v>0</v>
      </c>
      <c r="V30" s="6" t="s">
        <v>105</v>
      </c>
      <c r="W30" s="6">
        <f>COUNT(D2_Played)</f>
        <v>2</v>
      </c>
      <c r="X30" s="6">
        <f>COUNTIF(Groupstage_Winners,V30)</f>
        <v>0</v>
      </c>
      <c r="Y30" s="6">
        <f>COUNTIF(Groupstage_Losers,V30)</f>
        <v>2</v>
      </c>
      <c r="Z30" s="6">
        <f>W30-(X30+Y30)</f>
        <v>0</v>
      </c>
      <c r="AA30" s="6">
        <f>SUM(D2_Played)</f>
        <v>1</v>
      </c>
      <c r="AB30" s="6">
        <f>SUM(D2_Against)</f>
        <v>5</v>
      </c>
      <c r="AC30" s="6">
        <f>AA30-AB30</f>
        <v>-4</v>
      </c>
      <c r="AD30" s="6">
        <f>X30*Winpoints+Z30*Drawpoints</f>
        <v>0</v>
      </c>
      <c r="AE30" s="6" t="str">
        <f>IF($AD30&lt;=$AD29,$V30,$V29)</f>
        <v> Iran </v>
      </c>
      <c r="AF30" s="6">
        <f>VLOOKUP($AE30,$V29:$AD32,9,FALSE)</f>
        <v>0</v>
      </c>
      <c r="AG30" s="6" t="str">
        <f>IF(AF30&gt;=AF32,AE30,AE32)</f>
        <v> Angola </v>
      </c>
      <c r="AH30" s="6">
        <f>VLOOKUP($AG30,$V29:$AD32,9,FALSE)</f>
        <v>1</v>
      </c>
      <c r="AI30" s="6" t="str">
        <f>IF($AH30&gt;=$AH31,$AG30,$AG31)</f>
        <v> Mexique </v>
      </c>
      <c r="AJ30" s="6">
        <f>VLOOKUP($AI30,$V29:$AD32,9,FALSE)</f>
        <v>4</v>
      </c>
      <c r="AK30" s="6">
        <f>VLOOKUP($AI30,$V29:$AD32,8,FALSE)</f>
        <v>2</v>
      </c>
      <c r="AL30" s="6" t="str">
        <f>IF(AND($AJ29=$AJ30,$AK30&gt;$AK29),$AI29,$AI30)</f>
        <v> Mexique </v>
      </c>
      <c r="AM30" s="6">
        <f>VLOOKUP($AL30,$V29:$AD32,9,FALSE)</f>
        <v>4</v>
      </c>
      <c r="AN30" s="6">
        <f>VLOOKUP($AL30,$V29:$AD32,8,FALSE)</f>
        <v>2</v>
      </c>
      <c r="AO30" s="6" t="str">
        <f>IF(AND($AM30=$AM32,$AN32&gt;$AN30),$AL32,$AL30)</f>
        <v> Mexique </v>
      </c>
      <c r="AP30" s="6">
        <f>VLOOKUP($AO30,$V29:$AD32,9,FALSE)</f>
        <v>4</v>
      </c>
      <c r="AQ30" s="6">
        <f>VLOOKUP($AO30,$V29:$AD32,8,FALSE)</f>
        <v>2</v>
      </c>
      <c r="AR30" s="6" t="str">
        <f>IF(AND($AP30=$AP31,$AQ31&gt;$AQ30),$AO31,$AO30)</f>
        <v> Mexique </v>
      </c>
      <c r="AS30" s="6">
        <f>VLOOKUP($AR30,$V29:$AD32,9,FALSE)</f>
        <v>4</v>
      </c>
      <c r="AT30" s="6">
        <f>VLOOKUP($AR30,$V29:$AD32,8,FALSE)</f>
        <v>2</v>
      </c>
      <c r="AU30" s="6">
        <f>VLOOKUP($AR30,$V29:$AD32,6,FALSE)</f>
        <v>3</v>
      </c>
      <c r="AV30" s="6" t="str">
        <f>IF(AND($AS29=$AS30,$AT29=$AT30,$AU30&gt;$AU29),$AR29,$AR30)</f>
        <v> Mexique </v>
      </c>
      <c r="AW30" s="6">
        <f>VLOOKUP($AV30,$V29:$AD32,9,FALSE)</f>
        <v>4</v>
      </c>
      <c r="AX30" s="6">
        <f>VLOOKUP($AV30,$V29:$AD32,8,FALSE)</f>
        <v>2</v>
      </c>
      <c r="AY30" s="6">
        <f>VLOOKUP($AV30,$V29:$AD32,6,FALSE)</f>
        <v>3</v>
      </c>
      <c r="AZ30" s="6" t="str">
        <f>IF(AND($AW30=$AW32,$AX30=$AX32,$AY32&gt;$AY30),$AV32,$AV30)</f>
        <v> Mexique </v>
      </c>
      <c r="BA30" s="6">
        <f>VLOOKUP($AZ30,$V29:$AD32,9,FALSE)</f>
        <v>4</v>
      </c>
      <c r="BB30" s="6">
        <f>VLOOKUP($AZ30,$V29:$AD32,8,FALSE)</f>
        <v>2</v>
      </c>
      <c r="BC30" s="6">
        <f>VLOOKUP($AZ30,$V29:$AD32,6,FALSE)</f>
        <v>3</v>
      </c>
      <c r="BD30" s="6" t="str">
        <f>IF(AND($BA30=$BA31,$BB30=$BB31,$BC31&gt;$BC30),$AZ31,$AZ30)</f>
        <v> Mexique </v>
      </c>
      <c r="BE30" s="6">
        <f>VLOOKUP($BD30,$V29:$AD32,9,FALSE)</f>
        <v>4</v>
      </c>
      <c r="BF30" s="6">
        <f>VLOOKUP($BD30,$V29:$AD32,8,FALSE)</f>
        <v>2</v>
      </c>
      <c r="BG30" s="6">
        <f>VLOOKUP($BD30,$V29:$AD32,6,FALSE)</f>
        <v>3</v>
      </c>
      <c r="BK30" s="6" t="str">
        <f>BD30</f>
        <v> Mexique </v>
      </c>
      <c r="BL30" s="6">
        <f>VLOOKUP($BK30,$V29:$AD32,2,FALSE)</f>
        <v>2</v>
      </c>
      <c r="BM30" s="6">
        <f>VLOOKUP($BK30,$V29:$AD32,3,FALSE)</f>
        <v>1</v>
      </c>
      <c r="BN30" s="6">
        <f>VLOOKUP($BK30,$V29:$AD32,4,FALSE)</f>
        <v>0</v>
      </c>
      <c r="BO30" s="6">
        <f>VLOOKUP($BK30,$V29:$AD32,5,FALSE)</f>
        <v>1</v>
      </c>
      <c r="BP30" s="6">
        <f>VLOOKUP($BK30,$V29:$AD32,6,FALSE)</f>
        <v>3</v>
      </c>
      <c r="BQ30" s="6">
        <f>VLOOKUP($BK30,$V29:$AD32,7,FALSE)</f>
        <v>1</v>
      </c>
      <c r="BR30" s="6">
        <f>VLOOKUP($BK30,$V29:$AD32,8,FALSE)</f>
        <v>2</v>
      </c>
      <c r="BS30" s="6">
        <f>VLOOKUP($BK30,$V29:$AD32,9,FALSE)</f>
        <v>4</v>
      </c>
      <c r="BX30" s="47">
        <v>38889.791666666664</v>
      </c>
      <c r="BY30" s="22"/>
      <c r="CE30" s="24"/>
    </row>
    <row r="31" spans="1:83" ht="12.75">
      <c r="A31" s="2"/>
      <c r="B31" s="3"/>
      <c r="C31" s="4"/>
      <c r="D31" s="51"/>
      <c r="E31" s="52"/>
      <c r="F31" s="19"/>
      <c r="G31" s="20"/>
      <c r="H31" s="21"/>
      <c r="V31" s="6" t="s">
        <v>106</v>
      </c>
      <c r="W31" s="6">
        <f>COUNT(D3_Played)</f>
        <v>2</v>
      </c>
      <c r="X31" s="6">
        <f>COUNTIF(Groupstage_Winners,V31)</f>
        <v>0</v>
      </c>
      <c r="Y31" s="6">
        <f>COUNTIF(Groupstage_Losers,V31)</f>
        <v>1</v>
      </c>
      <c r="Z31" s="6">
        <f>W31-(X31+Y31)</f>
        <v>1</v>
      </c>
      <c r="AA31" s="6">
        <f>SUM(D3_Played)</f>
        <v>0</v>
      </c>
      <c r="AB31" s="6">
        <f>SUM(D3_Against)</f>
        <v>1</v>
      </c>
      <c r="AC31" s="6">
        <f>AA31-AB31</f>
        <v>-1</v>
      </c>
      <c r="AD31" s="6">
        <f>X31*Winpoints+Z31*Drawpoints</f>
        <v>1</v>
      </c>
      <c r="AE31" s="6" t="str">
        <f>IF($AD31&gt;=$AD32,$V31,$V32)</f>
        <v> Portugal </v>
      </c>
      <c r="AF31" s="6">
        <f>VLOOKUP($AE31,$V29:$AD32,9,FALSE)</f>
        <v>6</v>
      </c>
      <c r="AG31" s="6" t="str">
        <f>IF($AF31&lt;=$AF29,$AE31,$AE29)</f>
        <v> Mexique </v>
      </c>
      <c r="AH31" s="6">
        <f>VLOOKUP($AG31,$V29:$AD32,9,FALSE)</f>
        <v>4</v>
      </c>
      <c r="AI31" s="6" t="str">
        <f>IF($AH31&lt;=$AH30,$AG31,$AG30)</f>
        <v> Angola </v>
      </c>
      <c r="AJ31" s="6">
        <f>VLOOKUP($AI31,$V29:$AD32,9,FALSE)</f>
        <v>1</v>
      </c>
      <c r="AK31" s="6">
        <f>VLOOKUP($AI31,$V29:$AD32,8,FALSE)</f>
        <v>-1</v>
      </c>
      <c r="AL31" s="6" t="str">
        <f>IF(AND($AJ31=$AJ32,$AK32&gt;$AK31),$AI32,$AI31)</f>
        <v> Angola </v>
      </c>
      <c r="AM31" s="6">
        <f>VLOOKUP($AL31,$V29:$AD32,9,FALSE)</f>
        <v>1</v>
      </c>
      <c r="AN31" s="6">
        <f>VLOOKUP($AL31,$V29:$AD32,8,FALSE)</f>
        <v>-1</v>
      </c>
      <c r="AO31" s="6" t="str">
        <f>IF(AND($AM29=$AM31,$AN31&gt;$AN29),$AL29,$AL31)</f>
        <v> Angola </v>
      </c>
      <c r="AP31" s="6">
        <f>VLOOKUP($AO31,$V29:$AD32,9,FALSE)</f>
        <v>1</v>
      </c>
      <c r="AQ31" s="6">
        <f>VLOOKUP($AO31,$V29:$AD32,8,FALSE)</f>
        <v>-1</v>
      </c>
      <c r="AR31" s="6" t="str">
        <f>IF(AND($AP30=$AP31,$AQ31&gt;$AQ30),$AO30,$AO31)</f>
        <v> Angola </v>
      </c>
      <c r="AS31" s="6">
        <f>VLOOKUP($AR31,$V29:$AD32,9,FALSE)</f>
        <v>1</v>
      </c>
      <c r="AT31" s="6">
        <f>VLOOKUP($AR31,$V29:$AD32,8,FALSE)</f>
        <v>-1</v>
      </c>
      <c r="AU31" s="6">
        <f>VLOOKUP($AR31,$V29:$AD32,6,FALSE)</f>
        <v>0</v>
      </c>
      <c r="AV31" s="6" t="str">
        <f>IF(AND($AS31=$AS32,$AT31=$AT32,$AU32&gt;$AU31),$AR32,$AR31)</f>
        <v> Angola </v>
      </c>
      <c r="AW31" s="6">
        <f>VLOOKUP($AV31,$V29:$AD32,9,FALSE)</f>
        <v>1</v>
      </c>
      <c r="AX31" s="6">
        <f>VLOOKUP($AV31,$V29:$AD32,8,FALSE)</f>
        <v>-1</v>
      </c>
      <c r="AY31" s="6">
        <f>VLOOKUP($AV31,$V29:$AD32,6,FALSE)</f>
        <v>0</v>
      </c>
      <c r="AZ31" s="6" t="str">
        <f>IF(AND($AW29=$AW31,$AX29=$AX31,$AY31&gt;$AY29),$AV29,$AV31)</f>
        <v> Angola </v>
      </c>
      <c r="BA31" s="6">
        <f>VLOOKUP($AZ31,$V29:$AD32,9,FALSE)</f>
        <v>1</v>
      </c>
      <c r="BB31" s="6">
        <f>VLOOKUP($AZ31,$V29:$AD32,8,FALSE)</f>
        <v>-1</v>
      </c>
      <c r="BC31" s="6">
        <f>VLOOKUP($AZ31,$V29:$AD32,6,FALSE)</f>
        <v>0</v>
      </c>
      <c r="BD31" s="6" t="str">
        <f>IF(AND($BA30=$BA31,$BB30=$BB31,$BC31&gt;$BC30),$AZ30,$AZ31)</f>
        <v> Angola </v>
      </c>
      <c r="BE31" s="6">
        <f>VLOOKUP($BD31,$V29:$AD32,9,FALSE)</f>
        <v>1</v>
      </c>
      <c r="BF31" s="6">
        <f>VLOOKUP($BD31,$V29:$AD32,8,FALSE)</f>
        <v>-1</v>
      </c>
      <c r="BG31" s="6">
        <f>VLOOKUP($BD31,$V29:$AD32,6,FALSE)</f>
        <v>0</v>
      </c>
      <c r="BK31" s="6" t="str">
        <f>BD31</f>
        <v> Angola </v>
      </c>
      <c r="BL31" s="6">
        <f>VLOOKUP($BK31,$V29:$AD32,2,FALSE)</f>
        <v>2</v>
      </c>
      <c r="BM31" s="6">
        <f>VLOOKUP($BK31,$V29:$AD32,3,FALSE)</f>
        <v>0</v>
      </c>
      <c r="BN31" s="6">
        <f>VLOOKUP($BK31,$V29:$AD32,4,FALSE)</f>
        <v>1</v>
      </c>
      <c r="BO31" s="6">
        <f>VLOOKUP($BK31,$V29:$AD32,5,FALSE)</f>
        <v>1</v>
      </c>
      <c r="BP31" s="6">
        <f>VLOOKUP($BK31,$V29:$AD32,6,FALSE)</f>
        <v>0</v>
      </c>
      <c r="BQ31" s="6">
        <f>VLOOKUP($BK31,$V29:$AD32,7,FALSE)</f>
        <v>1</v>
      </c>
      <c r="BR31" s="6">
        <f>VLOOKUP($BK31,$V29:$AD32,8,FALSE)</f>
        <v>-1</v>
      </c>
      <c r="BS31" s="6">
        <f>VLOOKUP($BK31,$V29:$AD32,9,FALSE)</f>
        <v>1</v>
      </c>
      <c r="BX31" s="3"/>
      <c r="BY31" s="22"/>
      <c r="CE31" s="24"/>
    </row>
    <row r="32" spans="1:83" ht="15">
      <c r="A32" s="2"/>
      <c r="B32" s="3"/>
      <c r="C32" s="4"/>
      <c r="D32" s="51"/>
      <c r="E32" s="52"/>
      <c r="F32" s="19"/>
      <c r="G32" s="20"/>
      <c r="H32" s="21"/>
      <c r="L32" s="37" t="s">
        <v>84</v>
      </c>
      <c r="M32" s="43"/>
      <c r="N32" s="43"/>
      <c r="O32" s="43"/>
      <c r="P32" s="43"/>
      <c r="Q32" s="38"/>
      <c r="R32" s="38"/>
      <c r="S32" s="38"/>
      <c r="T32" s="9"/>
      <c r="V32" s="6" t="s">
        <v>107</v>
      </c>
      <c r="W32" s="6">
        <f>COUNT(D4_Played)</f>
        <v>2</v>
      </c>
      <c r="X32" s="6">
        <f>COUNTIF(Groupstage_Winners,V32)</f>
        <v>2</v>
      </c>
      <c r="Y32" s="6">
        <f>COUNTIF(Groupstage_Losers,V32)</f>
        <v>0</v>
      </c>
      <c r="Z32" s="6">
        <f>W32-(X32+Y32)</f>
        <v>0</v>
      </c>
      <c r="AA32" s="6">
        <f>SUM(D4_Played)</f>
        <v>3</v>
      </c>
      <c r="AB32" s="6">
        <f>SUM(D4_Against)</f>
        <v>0</v>
      </c>
      <c r="AC32" s="6">
        <f>AA32-AB32</f>
        <v>3</v>
      </c>
      <c r="AD32" s="6">
        <f>X32*Winpoints+Z32*Drawpoints</f>
        <v>6</v>
      </c>
      <c r="AE32" s="6" t="str">
        <f>IF($AD32&lt;=$AD31,$V32,$V31)</f>
        <v> Angola </v>
      </c>
      <c r="AF32" s="6">
        <f>VLOOKUP($AE32,$V29:$AD32,9,FALSE)</f>
        <v>1</v>
      </c>
      <c r="AG32" s="6" t="str">
        <f>IF(AF32&lt;=AF30,AE32,AE30)</f>
        <v> Iran </v>
      </c>
      <c r="AH32" s="6">
        <f>VLOOKUP($AG32,$V29:$AD32,9,FALSE)</f>
        <v>0</v>
      </c>
      <c r="AI32" s="6" t="str">
        <f>IF($AH32&lt;=$AH29,$AG32,$AG29)</f>
        <v> Iran </v>
      </c>
      <c r="AJ32" s="6">
        <f>VLOOKUP($AI32,$V29:$AD32,9,FALSE)</f>
        <v>0</v>
      </c>
      <c r="AK32" s="6">
        <f>VLOOKUP($AI32,$V29:$AD32,8,FALSE)</f>
        <v>-4</v>
      </c>
      <c r="AL32" s="6" t="str">
        <f>IF(AND($AJ31=$AJ32,$AK32&gt;$AK31),$AI31,$AI32)</f>
        <v> Iran </v>
      </c>
      <c r="AM32" s="6">
        <f>VLOOKUP($AL32,$V29:$AD32,9,FALSE)</f>
        <v>0</v>
      </c>
      <c r="AN32" s="6">
        <f>VLOOKUP($AL32,$V29:$AD32,8,FALSE)</f>
        <v>-4</v>
      </c>
      <c r="AO32" s="6" t="str">
        <f>IF(AND($AM30=$AM32,$AN32&gt;$AN30),$AL30,$AL32)</f>
        <v> Iran </v>
      </c>
      <c r="AP32" s="6">
        <f>VLOOKUP($AO32,$V29:$AD32,9,FALSE)</f>
        <v>0</v>
      </c>
      <c r="AQ32" s="6">
        <f>VLOOKUP($AO32,$V29:$AD32,8,FALSE)</f>
        <v>-4</v>
      </c>
      <c r="AR32" s="6" t="str">
        <f>IF(AND($AP29=$AP32,$AQ32&gt;$AQ29),$AO29,$AO32)</f>
        <v> Iran </v>
      </c>
      <c r="AS32" s="6">
        <f>VLOOKUP($AR32,$V29:$AD32,9,FALSE)</f>
        <v>0</v>
      </c>
      <c r="AT32" s="6">
        <f>VLOOKUP($AR32,$V29:$AD32,8,FALSE)</f>
        <v>-4</v>
      </c>
      <c r="AU32" s="6">
        <f>VLOOKUP($AR32,$V29:$AD32,6,FALSE)</f>
        <v>1</v>
      </c>
      <c r="AV32" s="6" t="str">
        <f>IF(AND($AS31=$AS32,$AT31=$AT32,$AU32&gt;$AU31),$AR31,$AR32)</f>
        <v> Iran </v>
      </c>
      <c r="AW32" s="6">
        <f>VLOOKUP($AV32,$V29:$AD32,9,FALSE)</f>
        <v>0</v>
      </c>
      <c r="AX32" s="6">
        <f>VLOOKUP($AV32,$V29:$AD32,8,FALSE)</f>
        <v>-4</v>
      </c>
      <c r="AY32" s="6">
        <f>VLOOKUP($AV32,$V29:$AD32,6,FALSE)</f>
        <v>1</v>
      </c>
      <c r="AZ32" s="6" t="str">
        <f>IF(AND($AW30=$AW32,$AX30=$AX32,$AY32&gt;$AY30),$AV30,$AV32)</f>
        <v> Iran </v>
      </c>
      <c r="BA32" s="6">
        <f>VLOOKUP($AZ32,$V29:$AD32,9,FALSE)</f>
        <v>0</v>
      </c>
      <c r="BB32" s="6">
        <f>VLOOKUP($AZ32,$V29:$AD32,8,FALSE)</f>
        <v>-4</v>
      </c>
      <c r="BC32" s="6">
        <f>VLOOKUP($AZ32,$V29:$AD32,6,FALSE)</f>
        <v>1</v>
      </c>
      <c r="BD32" s="6" t="str">
        <f>IF(AND($BA29=$BA32,$BB29=$BB32,$BC32&gt;$BC29),$AZ29,$AZ32)</f>
        <v> Iran </v>
      </c>
      <c r="BE32" s="6">
        <f>VLOOKUP($BD32,$V29:$AD32,9,FALSE)</f>
        <v>0</v>
      </c>
      <c r="BF32" s="6">
        <f>VLOOKUP($BD32,$V29:$AD32,8,FALSE)</f>
        <v>-4</v>
      </c>
      <c r="BG32" s="6">
        <f>VLOOKUP($BD32,$V29:$AD32,6,FALSE)</f>
        <v>1</v>
      </c>
      <c r="BK32" s="6" t="str">
        <f>BD32</f>
        <v> Iran </v>
      </c>
      <c r="BL32" s="6">
        <f>VLOOKUP($BK32,$V29:$AD32,2,FALSE)</f>
        <v>2</v>
      </c>
      <c r="BM32" s="6">
        <f>VLOOKUP($BK32,$V29:$AD32,3,FALSE)</f>
        <v>0</v>
      </c>
      <c r="BN32" s="6">
        <f>VLOOKUP($BK32,$V29:$AD32,4,FALSE)</f>
        <v>2</v>
      </c>
      <c r="BO32" s="6">
        <f>VLOOKUP($BK32,$V29:$AD32,5,FALSE)</f>
        <v>0</v>
      </c>
      <c r="BP32" s="6">
        <f>VLOOKUP($BK32,$V29:$AD32,6,FALSE)</f>
        <v>1</v>
      </c>
      <c r="BQ32" s="6">
        <f>VLOOKUP($BK32,$V29:$AD32,7,FALSE)</f>
        <v>5</v>
      </c>
      <c r="BR32" s="6">
        <f>VLOOKUP($BK32,$V29:$AD32,8,FALSE)</f>
        <v>-4</v>
      </c>
      <c r="BS32" s="6">
        <f>VLOOKUP($BK32,$V29:$AD32,9,FALSE)</f>
        <v>0</v>
      </c>
      <c r="BX32" s="3"/>
      <c r="BY32" s="22"/>
      <c r="CE32" s="24"/>
    </row>
    <row r="33" spans="1:83" ht="13.5" thickBot="1">
      <c r="A33" s="2"/>
      <c r="B33" s="3"/>
      <c r="C33" s="4"/>
      <c r="D33" s="51"/>
      <c r="E33" s="52"/>
      <c r="F33" s="19"/>
      <c r="G33" s="20"/>
      <c r="H33" s="21"/>
      <c r="L33" s="39"/>
      <c r="M33" s="42" t="s">
        <v>29</v>
      </c>
      <c r="N33" s="42" t="s">
        <v>10</v>
      </c>
      <c r="O33" s="42" t="s">
        <v>11</v>
      </c>
      <c r="P33" s="42" t="s">
        <v>1</v>
      </c>
      <c r="Q33" s="14" t="s">
        <v>7</v>
      </c>
      <c r="R33" s="14" t="s">
        <v>2</v>
      </c>
      <c r="S33" s="14" t="s">
        <v>8</v>
      </c>
      <c r="T33" s="15" t="s">
        <v>30</v>
      </c>
      <c r="BX33" s="3"/>
      <c r="BY33" s="22"/>
      <c r="CE33" s="24"/>
    </row>
    <row r="34" spans="1:83" ht="13.5" thickBot="1">
      <c r="A34" s="2">
        <f>BX34+(VLOOKUP('Group Points'!$E$2,'Group Points'!$D$4:$E$27,2)/24)</f>
        <v>38880.625</v>
      </c>
      <c r="B34" s="3">
        <f>BX34+(VLOOKUP('Group Points'!$E$2,'Group Points'!$D$4:$E$27,2)/24)</f>
        <v>38880.625</v>
      </c>
      <c r="C34" s="4" t="str">
        <f>$V$36</f>
        <v> Italie </v>
      </c>
      <c r="D34" s="49">
        <v>2</v>
      </c>
      <c r="E34" s="50">
        <v>0</v>
      </c>
      <c r="F34" s="26" t="str">
        <f>$V$37</f>
        <v> Ghana </v>
      </c>
      <c r="G34" s="20" t="s">
        <v>70</v>
      </c>
      <c r="H34" s="21" t="s">
        <v>37</v>
      </c>
      <c r="I34" s="6" t="str">
        <f aca="true" t="shared" si="6" ref="I34:I57">IF(D34&lt;&gt;"",IF(D34&gt;E34,C34,IF(E34&gt;D34,F34,"Draw")),"")</f>
        <v> Italie </v>
      </c>
      <c r="J34" s="6" t="str">
        <f aca="true" t="shared" si="7" ref="J34:J57">IF(D34&lt;&gt;"",IF(D34&lt;E34,C34,IF(E34&lt;D34,F34,"Draw")),"")</f>
        <v> Ghana </v>
      </c>
      <c r="L34" s="40" t="str">
        <f aca="true" t="shared" si="8" ref="L34:T37">BK36</f>
        <v> Italie </v>
      </c>
      <c r="M34" s="21">
        <f t="shared" si="8"/>
        <v>2</v>
      </c>
      <c r="N34" s="21">
        <f t="shared" si="8"/>
        <v>1</v>
      </c>
      <c r="O34" s="21">
        <f t="shared" si="8"/>
        <v>0</v>
      </c>
      <c r="P34" s="21">
        <f t="shared" si="8"/>
        <v>1</v>
      </c>
      <c r="Q34" s="18">
        <f t="shared" si="8"/>
        <v>1</v>
      </c>
      <c r="R34" s="18">
        <f t="shared" si="8"/>
        <v>4</v>
      </c>
      <c r="S34" s="18">
        <f t="shared" si="8"/>
        <v>-3</v>
      </c>
      <c r="T34" s="53">
        <f t="shared" si="8"/>
        <v>4</v>
      </c>
      <c r="V34" s="6" t="s">
        <v>33</v>
      </c>
      <c r="BX34" s="47">
        <v>38880.541666666664</v>
      </c>
      <c r="BY34" s="22"/>
      <c r="CE34" s="24"/>
    </row>
    <row r="35" spans="1:83" ht="13.5" thickBot="1">
      <c r="A35" s="2">
        <f>BX35+(VLOOKUP('Group Points'!$E$2,'Group Points'!$D$4:$E$27,2)/24)</f>
        <v>38880.75</v>
      </c>
      <c r="B35" s="3">
        <f>BX35+(VLOOKUP('Group Points'!$E$2,'Group Points'!$D$4:$E$27,2)/24)</f>
        <v>38880.75</v>
      </c>
      <c r="C35" s="4" t="str">
        <f>$V$38</f>
        <v> Etats-Unis </v>
      </c>
      <c r="D35" s="49">
        <v>0</v>
      </c>
      <c r="E35" s="50">
        <v>3</v>
      </c>
      <c r="F35" s="26" t="str">
        <f>$V$39</f>
        <v> République Tchèque </v>
      </c>
      <c r="G35" s="20" t="s">
        <v>66</v>
      </c>
      <c r="H35" s="21" t="s">
        <v>37</v>
      </c>
      <c r="I35" s="6" t="str">
        <f t="shared" si="6"/>
        <v> République Tchèque </v>
      </c>
      <c r="J35" s="6" t="str">
        <f t="shared" si="7"/>
        <v> Etats-Unis </v>
      </c>
      <c r="L35" s="40" t="str">
        <f t="shared" si="8"/>
        <v> Ghana </v>
      </c>
      <c r="M35" s="21">
        <f t="shared" si="8"/>
        <v>2</v>
      </c>
      <c r="N35" s="21">
        <f t="shared" si="8"/>
        <v>1</v>
      </c>
      <c r="O35" s="21">
        <f t="shared" si="8"/>
        <v>1</v>
      </c>
      <c r="P35" s="21">
        <f t="shared" si="8"/>
        <v>0</v>
      </c>
      <c r="Q35" s="18">
        <f t="shared" si="8"/>
        <v>5</v>
      </c>
      <c r="R35" s="18">
        <f t="shared" si="8"/>
        <v>0</v>
      </c>
      <c r="S35" s="18">
        <f t="shared" si="8"/>
        <v>5</v>
      </c>
      <c r="T35" s="53">
        <f t="shared" si="8"/>
        <v>3</v>
      </c>
      <c r="W35" s="6" t="s">
        <v>6</v>
      </c>
      <c r="X35" s="6" t="s">
        <v>10</v>
      </c>
      <c r="Y35" s="6" t="s">
        <v>11</v>
      </c>
      <c r="Z35" s="6" t="s">
        <v>1</v>
      </c>
      <c r="AA35" s="6" t="s">
        <v>7</v>
      </c>
      <c r="AB35" s="6" t="s">
        <v>2</v>
      </c>
      <c r="AC35" s="6" t="s">
        <v>8</v>
      </c>
      <c r="AD35" s="6" t="s">
        <v>9</v>
      </c>
      <c r="AE35" s="6" t="s">
        <v>20</v>
      </c>
      <c r="AF35" s="6" t="s">
        <v>9</v>
      </c>
      <c r="AG35" s="6" t="s">
        <v>20</v>
      </c>
      <c r="AH35" s="6" t="s">
        <v>9</v>
      </c>
      <c r="AI35" s="6" t="s">
        <v>20</v>
      </c>
      <c r="AJ35" s="6" t="s">
        <v>9</v>
      </c>
      <c r="AK35" s="6" t="s">
        <v>8</v>
      </c>
      <c r="AL35" s="6" t="s">
        <v>20</v>
      </c>
      <c r="AM35" s="6" t="s">
        <v>9</v>
      </c>
      <c r="AN35" s="6" t="s">
        <v>8</v>
      </c>
      <c r="AO35" s="6" t="s">
        <v>20</v>
      </c>
      <c r="AP35" s="6" t="s">
        <v>9</v>
      </c>
      <c r="AQ35" s="6" t="s">
        <v>8</v>
      </c>
      <c r="AR35" s="6" t="s">
        <v>20</v>
      </c>
      <c r="AS35" s="6" t="s">
        <v>9</v>
      </c>
      <c r="AT35" s="6" t="s">
        <v>8</v>
      </c>
      <c r="AU35" s="6" t="s">
        <v>7</v>
      </c>
      <c r="AV35" s="6" t="s">
        <v>20</v>
      </c>
      <c r="AW35" s="6" t="s">
        <v>9</v>
      </c>
      <c r="AX35" s="6" t="s">
        <v>8</v>
      </c>
      <c r="AY35" s="6" t="s">
        <v>7</v>
      </c>
      <c r="AZ35" s="6" t="s">
        <v>20</v>
      </c>
      <c r="BA35" s="6" t="s">
        <v>9</v>
      </c>
      <c r="BB35" s="6" t="s">
        <v>8</v>
      </c>
      <c r="BC35" s="6" t="s">
        <v>7</v>
      </c>
      <c r="BD35" s="6" t="s">
        <v>20</v>
      </c>
      <c r="BE35" s="6" t="s">
        <v>9</v>
      </c>
      <c r="BF35" s="6" t="s">
        <v>8</v>
      </c>
      <c r="BG35" s="6" t="s">
        <v>7</v>
      </c>
      <c r="BL35" s="6" t="s">
        <v>29</v>
      </c>
      <c r="BM35" s="6" t="s">
        <v>10</v>
      </c>
      <c r="BN35" s="6" t="s">
        <v>11</v>
      </c>
      <c r="BO35" s="6" t="s">
        <v>1</v>
      </c>
      <c r="BP35" s="6" t="s">
        <v>7</v>
      </c>
      <c r="BQ35" s="6" t="s">
        <v>2</v>
      </c>
      <c r="BR35" s="6" t="s">
        <v>8</v>
      </c>
      <c r="BS35" s="6" t="s">
        <v>9</v>
      </c>
      <c r="BX35" s="47">
        <v>38880.666666666664</v>
      </c>
      <c r="BY35" s="22"/>
      <c r="CE35" s="24"/>
    </row>
    <row r="36" spans="1:83" ht="13.5" thickBot="1">
      <c r="A36" s="2">
        <f>BX36+(VLOOKUP('Group Points'!$E$2,'Group Points'!$D$4:$E$27,2)/24)</f>
        <v>38885.75</v>
      </c>
      <c r="B36" s="3">
        <f>BX36+(VLOOKUP('Group Points'!$E$2,'Group Points'!$D$4:$E$27,2)/24)</f>
        <v>38885.75</v>
      </c>
      <c r="C36" s="4" t="str">
        <f>$V$36</f>
        <v> Italie </v>
      </c>
      <c r="D36" s="49">
        <v>1</v>
      </c>
      <c r="E36" s="50">
        <v>1</v>
      </c>
      <c r="F36" s="26" t="str">
        <f>$V$38</f>
        <v> Etats-Unis </v>
      </c>
      <c r="G36" s="20" t="s">
        <v>77</v>
      </c>
      <c r="H36" s="21" t="s">
        <v>37</v>
      </c>
      <c r="I36" s="6" t="str">
        <f t="shared" si="6"/>
        <v>Draw</v>
      </c>
      <c r="J36" s="6" t="str">
        <f t="shared" si="7"/>
        <v>Draw</v>
      </c>
      <c r="L36" s="40" t="str">
        <f t="shared" si="8"/>
        <v> République Tchèque </v>
      </c>
      <c r="M36" s="21">
        <f t="shared" si="8"/>
        <v>2</v>
      </c>
      <c r="N36" s="21">
        <f t="shared" si="8"/>
        <v>1</v>
      </c>
      <c r="O36" s="21">
        <f t="shared" si="8"/>
        <v>1</v>
      </c>
      <c r="P36" s="21">
        <f t="shared" si="8"/>
        <v>0</v>
      </c>
      <c r="Q36" s="18">
        <f t="shared" si="8"/>
        <v>0</v>
      </c>
      <c r="R36" s="18">
        <f t="shared" si="8"/>
        <v>4</v>
      </c>
      <c r="S36" s="18">
        <f t="shared" si="8"/>
        <v>-4</v>
      </c>
      <c r="T36" s="53">
        <f t="shared" si="8"/>
        <v>3</v>
      </c>
      <c r="V36" s="6" t="s">
        <v>108</v>
      </c>
      <c r="W36" s="6">
        <f>COUNT(E1_Played)</f>
        <v>2</v>
      </c>
      <c r="X36" s="6">
        <f>COUNTIF(Groupstage_Winners,V36)</f>
        <v>1</v>
      </c>
      <c r="Y36" s="6">
        <f>COUNTIF(Groupstage_Losers,V36)</f>
        <v>0</v>
      </c>
      <c r="Z36" s="6">
        <f>W36-(X36+Y36)</f>
        <v>1</v>
      </c>
      <c r="AA36" s="6">
        <f>SUM(E1_Played)</f>
        <v>1</v>
      </c>
      <c r="AB36" s="6">
        <f>SUM(E1_Against)</f>
        <v>4</v>
      </c>
      <c r="AC36" s="6">
        <f>AA36-AB36</f>
        <v>-3</v>
      </c>
      <c r="AD36" s="6">
        <f>X36*Winpoints+Z36*Drawpoints</f>
        <v>4</v>
      </c>
      <c r="AE36" s="6" t="str">
        <f>IF($AD36&gt;=$AD37,$V36,$V37)</f>
        <v> Italie </v>
      </c>
      <c r="AF36" s="6">
        <f>VLOOKUP($AE36,$V36:$AD39,9,FALSE)</f>
        <v>4</v>
      </c>
      <c r="AG36" s="6" t="str">
        <f>IF($AF36&gt;=$AF38,$AE36,$AE38)</f>
        <v> Italie </v>
      </c>
      <c r="AH36" s="6">
        <f>VLOOKUP($AG36,$V36:$AD39,9,FALSE)</f>
        <v>4</v>
      </c>
      <c r="AI36" s="6" t="str">
        <f>IF($AH36&gt;=$AH39,$AG36,$AG39)</f>
        <v> Italie </v>
      </c>
      <c r="AJ36" s="6">
        <f>VLOOKUP($AI36,$V36:$AD39,9,FALSE)</f>
        <v>4</v>
      </c>
      <c r="AK36" s="6">
        <f>VLOOKUP($AI36,$V36:$AD39,8,FALSE)</f>
        <v>-3</v>
      </c>
      <c r="AL36" s="6" t="str">
        <f>IF(AND($AJ36=$AJ37,$AK37&gt;$AK36),$AI37,$AI36)</f>
        <v> Italie </v>
      </c>
      <c r="AM36" s="6">
        <f>VLOOKUP($AL36,$V36:$AD39,9,FALSE)</f>
        <v>4</v>
      </c>
      <c r="AN36" s="6">
        <f>VLOOKUP($AL36,$V36:$AD39,8,FALSE)</f>
        <v>-3</v>
      </c>
      <c r="AO36" s="6" t="str">
        <f>IF(AND($AM36=$AM38,$AN38&gt;$AN36),$AL38,$AL36)</f>
        <v> Italie </v>
      </c>
      <c r="AP36" s="6">
        <f>VLOOKUP($AO36,$V36:$AD39,9,FALSE)</f>
        <v>4</v>
      </c>
      <c r="AQ36" s="6">
        <f>VLOOKUP($AO36,$V36:$AD39,8,FALSE)</f>
        <v>-3</v>
      </c>
      <c r="AR36" s="6" t="str">
        <f>IF(AND($AP36=$AP39,$AQ39&gt;$AQ36),$AO39,$AO36)</f>
        <v> Italie </v>
      </c>
      <c r="AS36" s="6">
        <f>VLOOKUP($AR36,$V36:$AD39,9,FALSE)</f>
        <v>4</v>
      </c>
      <c r="AT36" s="6">
        <f>VLOOKUP($AR36,$V36:$AD39,8,FALSE)</f>
        <v>-3</v>
      </c>
      <c r="AU36" s="6">
        <f>VLOOKUP($AR36,$V36:$AD39,6,FALSE)</f>
        <v>1</v>
      </c>
      <c r="AV36" s="6" t="str">
        <f>IF(AND($AS36=$AS37,$AT36=$AT37,$AU37&gt;$AU36),$AR37,$AR36)</f>
        <v> Italie </v>
      </c>
      <c r="AW36" s="6">
        <f>VLOOKUP($AV36,$V36:$AD39,9,FALSE)</f>
        <v>4</v>
      </c>
      <c r="AX36" s="6">
        <f>VLOOKUP($AV36,$V36:$AD39,8,FALSE)</f>
        <v>-3</v>
      </c>
      <c r="AY36" s="6">
        <f>VLOOKUP($AV36,$V36:$AD39,6,FALSE)</f>
        <v>1</v>
      </c>
      <c r="AZ36" s="6" t="str">
        <f>IF(AND($AW36=$AW38,$AX36=$AX38,$AY38&gt;$AY36),$AV38,$AV36)</f>
        <v> Italie </v>
      </c>
      <c r="BA36" s="6">
        <f>VLOOKUP($AZ36,$V36:$AD39,9,FALSE)</f>
        <v>4</v>
      </c>
      <c r="BB36" s="6">
        <f>VLOOKUP($AZ36,$V36:$AD39,8,FALSE)</f>
        <v>-3</v>
      </c>
      <c r="BC36" s="6">
        <f>VLOOKUP($AZ36,$V36:$AD39,6,FALSE)</f>
        <v>1</v>
      </c>
      <c r="BD36" s="6" t="str">
        <f>IF(AND($BA36=$BA39,$BB36=$BB39,$BC39&gt;$BC36),$AZ39,$AZ36)</f>
        <v> Italie </v>
      </c>
      <c r="BE36" s="6">
        <f>VLOOKUP($BD36,$V36:$AD39,9,FALSE)</f>
        <v>4</v>
      </c>
      <c r="BF36" s="6">
        <f>VLOOKUP($BD36,$V36:$AD39,8,FALSE)</f>
        <v>-3</v>
      </c>
      <c r="BG36" s="6">
        <f>VLOOKUP($BD36,$V36:$AD39,6,FALSE)</f>
        <v>1</v>
      </c>
      <c r="BK36" s="6" t="str">
        <f>BD36</f>
        <v> Italie </v>
      </c>
      <c r="BL36" s="6">
        <f>VLOOKUP($BK36,$V36:$AD39,2,FALSE)</f>
        <v>2</v>
      </c>
      <c r="BM36" s="6">
        <f>VLOOKUP($BK36,$V36:$AD39,3,FALSE)</f>
        <v>1</v>
      </c>
      <c r="BN36" s="6">
        <f>VLOOKUP($BK36,$V36:$AD39,4,FALSE)</f>
        <v>0</v>
      </c>
      <c r="BO36" s="6">
        <f>VLOOKUP($BK36,$V36:$AD39,5,FALSE)</f>
        <v>1</v>
      </c>
      <c r="BP36" s="6">
        <f>VLOOKUP($BK36,$V36:$AD39,6,FALSE)</f>
        <v>1</v>
      </c>
      <c r="BQ36" s="6">
        <f>VLOOKUP($BK36,$V36:$AD39,7,FALSE)</f>
        <v>4</v>
      </c>
      <c r="BR36" s="6">
        <f>VLOOKUP($BK36,$V36:$AD39,8,FALSE)</f>
        <v>-3</v>
      </c>
      <c r="BS36" s="6">
        <f>VLOOKUP($BK36,$V36:$AD39,9,FALSE)</f>
        <v>4</v>
      </c>
      <c r="BX36" s="47">
        <v>38885.666666666664</v>
      </c>
      <c r="BY36" s="22"/>
      <c r="CE36" s="24"/>
    </row>
    <row r="37" spans="1:83" ht="13.5" thickBot="1">
      <c r="A37" s="2">
        <f>BX37+(VLOOKUP('Group Points'!$E$2,'Group Points'!$D$4:$E$27,2)/24)</f>
        <v>38885.875</v>
      </c>
      <c r="B37" s="3">
        <f>BX37+(VLOOKUP('Group Points'!$E$2,'Group Points'!$D$4:$E$27,2)/24)</f>
        <v>38885.875</v>
      </c>
      <c r="C37" s="4" t="str">
        <f>$V$39</f>
        <v> République Tchèque </v>
      </c>
      <c r="D37" s="49">
        <v>0</v>
      </c>
      <c r="E37" s="50">
        <v>2</v>
      </c>
      <c r="F37" s="26" t="str">
        <f>$V$37</f>
        <v> Ghana </v>
      </c>
      <c r="G37" s="20" t="s">
        <v>73</v>
      </c>
      <c r="H37" s="21" t="s">
        <v>37</v>
      </c>
      <c r="I37" s="6" t="str">
        <f t="shared" si="6"/>
        <v> Ghana </v>
      </c>
      <c r="J37" s="6" t="str">
        <f t="shared" si="7"/>
        <v> République Tchèque </v>
      </c>
      <c r="L37" s="41" t="str">
        <f t="shared" si="8"/>
        <v> Etats-Unis </v>
      </c>
      <c r="M37" s="44">
        <f t="shared" si="8"/>
        <v>2</v>
      </c>
      <c r="N37" s="44">
        <f t="shared" si="8"/>
        <v>0</v>
      </c>
      <c r="O37" s="44">
        <f t="shared" si="8"/>
        <v>1</v>
      </c>
      <c r="P37" s="44">
        <f t="shared" si="8"/>
        <v>1</v>
      </c>
      <c r="Q37" s="25">
        <f t="shared" si="8"/>
        <v>3</v>
      </c>
      <c r="R37" s="25">
        <f t="shared" si="8"/>
        <v>1</v>
      </c>
      <c r="S37" s="25">
        <f t="shared" si="8"/>
        <v>2</v>
      </c>
      <c r="T37" s="54">
        <f t="shared" si="8"/>
        <v>1</v>
      </c>
      <c r="V37" s="6" t="s">
        <v>109</v>
      </c>
      <c r="W37" s="6">
        <f>COUNT(E2_Played)</f>
        <v>2</v>
      </c>
      <c r="X37" s="6">
        <f>COUNTIF(Groupstage_Winners,V37)</f>
        <v>1</v>
      </c>
      <c r="Y37" s="6">
        <f>COUNTIF(Groupstage_Losers,V37)</f>
        <v>1</v>
      </c>
      <c r="Z37" s="6">
        <f>W37-(X37+Y37)</f>
        <v>0</v>
      </c>
      <c r="AA37" s="6">
        <f>SUM(E2_Played)</f>
        <v>5</v>
      </c>
      <c r="AB37" s="6">
        <f>SUM(E2_Against)</f>
        <v>0</v>
      </c>
      <c r="AC37" s="6">
        <f>AA37-AB37</f>
        <v>5</v>
      </c>
      <c r="AD37" s="6">
        <f>X37*Winpoints+Z37*Drawpoints</f>
        <v>3</v>
      </c>
      <c r="AE37" s="6" t="str">
        <f>IF($AD37&lt;=$AD36,$V37,$V36)</f>
        <v> Ghana </v>
      </c>
      <c r="AF37" s="6">
        <f>VLOOKUP($AE37,$V36:$AD39,9,FALSE)</f>
        <v>3</v>
      </c>
      <c r="AG37" s="6" t="str">
        <f>IF(AF37&gt;=AF39,AE37,AE39)</f>
        <v> Ghana </v>
      </c>
      <c r="AH37" s="6">
        <f>VLOOKUP($AG37,$V36:$AD39,9,FALSE)</f>
        <v>3</v>
      </c>
      <c r="AI37" s="6" t="str">
        <f>IF($AH37&gt;=$AH38,$AG37,$AG38)</f>
        <v> Ghana </v>
      </c>
      <c r="AJ37" s="6">
        <f>VLOOKUP($AI37,$V36:$AD39,9,FALSE)</f>
        <v>3</v>
      </c>
      <c r="AK37" s="6">
        <f>VLOOKUP($AI37,$V36:$AD39,8,FALSE)</f>
        <v>5</v>
      </c>
      <c r="AL37" s="6" t="str">
        <f>IF(AND($AJ36=$AJ37,$AK37&gt;$AK36),$AI36,$AI37)</f>
        <v> Ghana </v>
      </c>
      <c r="AM37" s="6">
        <f>VLOOKUP($AL37,$V36:$AD39,9,FALSE)</f>
        <v>3</v>
      </c>
      <c r="AN37" s="6">
        <f>VLOOKUP($AL37,$V36:$AD39,8,FALSE)</f>
        <v>5</v>
      </c>
      <c r="AO37" s="6" t="str">
        <f>IF(AND($AM37=$AM39,$AN39&gt;$AN37),$AL39,$AL37)</f>
        <v> Ghana </v>
      </c>
      <c r="AP37" s="6">
        <f>VLOOKUP($AO37,$V36:$AD39,9,FALSE)</f>
        <v>3</v>
      </c>
      <c r="AQ37" s="6">
        <f>VLOOKUP($AO37,$V36:$AD39,8,FALSE)</f>
        <v>5</v>
      </c>
      <c r="AR37" s="6" t="str">
        <f>IF(AND($AP37=$AP38,$AQ38&gt;$AQ37),$AO38,$AO37)</f>
        <v> Ghana </v>
      </c>
      <c r="AS37" s="6">
        <f>VLOOKUP($AR37,$V36:$AD39,9,FALSE)</f>
        <v>3</v>
      </c>
      <c r="AT37" s="6">
        <f>VLOOKUP($AR37,$V36:$AD39,8,FALSE)</f>
        <v>5</v>
      </c>
      <c r="AU37" s="6">
        <f>VLOOKUP($AR37,$V36:$AD39,6,FALSE)</f>
        <v>5</v>
      </c>
      <c r="AV37" s="6" t="str">
        <f>IF(AND($AS36=$AS37,$AT36=$AT37,$AU37&gt;$AU36),$AR36,$AR37)</f>
        <v> Ghana </v>
      </c>
      <c r="AW37" s="6">
        <f>VLOOKUP($AV37,$V36:$AD39,9,FALSE)</f>
        <v>3</v>
      </c>
      <c r="AX37" s="6">
        <f>VLOOKUP($AV37,$V36:$AD39,8,FALSE)</f>
        <v>5</v>
      </c>
      <c r="AY37" s="6">
        <f>VLOOKUP($AV37,$V36:$AD39,6,FALSE)</f>
        <v>5</v>
      </c>
      <c r="AZ37" s="6" t="str">
        <f>IF(AND($AW37=$AW39,$AX37=$AX39,$AY39&gt;$AY37),$AV39,$AV37)</f>
        <v> Ghana </v>
      </c>
      <c r="BA37" s="6">
        <f>VLOOKUP($AZ37,$V36:$AD39,9,FALSE)</f>
        <v>3</v>
      </c>
      <c r="BB37" s="6">
        <f>VLOOKUP($AZ37,$V36:$AD39,8,FALSE)</f>
        <v>5</v>
      </c>
      <c r="BC37" s="6">
        <f>VLOOKUP($AZ37,$V36:$AD39,6,FALSE)</f>
        <v>5</v>
      </c>
      <c r="BD37" s="6" t="str">
        <f>IF(AND($BA37=$BA38,$BB37=$BB38,$BC38&gt;$BC37),$AZ38,$AZ37)</f>
        <v> Ghana </v>
      </c>
      <c r="BE37" s="6">
        <f>VLOOKUP($BD37,$V36:$AD39,9,FALSE)</f>
        <v>3</v>
      </c>
      <c r="BF37" s="6">
        <f>VLOOKUP($BD37,$V36:$AD39,8,FALSE)</f>
        <v>5</v>
      </c>
      <c r="BG37" s="6">
        <f>VLOOKUP($BD37,$V36:$AD39,6,FALSE)</f>
        <v>5</v>
      </c>
      <c r="BK37" s="6" t="str">
        <f>BD37</f>
        <v> Ghana </v>
      </c>
      <c r="BL37" s="6">
        <f>VLOOKUP($BK37,$V36:$AD39,2,FALSE)</f>
        <v>2</v>
      </c>
      <c r="BM37" s="6">
        <f>VLOOKUP($BK37,$V36:$AD39,3,FALSE)</f>
        <v>1</v>
      </c>
      <c r="BN37" s="6">
        <f>VLOOKUP($BK37,$V36:$AD39,4,FALSE)</f>
        <v>1</v>
      </c>
      <c r="BO37" s="6">
        <f>VLOOKUP($BK37,$V36:$AD39,5,FALSE)</f>
        <v>0</v>
      </c>
      <c r="BP37" s="6">
        <f>VLOOKUP($BK37,$V36:$AD39,6,FALSE)</f>
        <v>5</v>
      </c>
      <c r="BQ37" s="6">
        <f>VLOOKUP($BK37,$V36:$AD39,7,FALSE)</f>
        <v>0</v>
      </c>
      <c r="BR37" s="6">
        <f>VLOOKUP($BK37,$V36:$AD39,8,FALSE)</f>
        <v>5</v>
      </c>
      <c r="BS37" s="6">
        <f>VLOOKUP($BK37,$V36:$AD39,9,FALSE)</f>
        <v>3</v>
      </c>
      <c r="BX37" s="47">
        <v>38885.791666666664</v>
      </c>
      <c r="BY37" s="22"/>
      <c r="CE37" s="24"/>
    </row>
    <row r="38" spans="1:83" ht="13.5" thickBot="1">
      <c r="A38" s="2">
        <f>BX38+(VLOOKUP('Group Points'!$E$2,'Group Points'!$D$4:$E$27,2)/24)</f>
        <v>38890.66666666667</v>
      </c>
      <c r="B38" s="3">
        <f>BX38+(VLOOKUP('Group Points'!$E$2,'Group Points'!$D$4:$E$27,2)/24)</f>
        <v>38890.66666666667</v>
      </c>
      <c r="C38" s="4" t="str">
        <f>$V$39</f>
        <v> République Tchèque </v>
      </c>
      <c r="D38" s="49"/>
      <c r="E38" s="50"/>
      <c r="F38" s="26" t="str">
        <f>$V$36</f>
        <v> Italie </v>
      </c>
      <c r="G38" s="20" t="s">
        <v>68</v>
      </c>
      <c r="H38" s="21" t="s">
        <v>37</v>
      </c>
      <c r="I38" s="6">
        <f t="shared" si="6"/>
      </c>
      <c r="J38" s="6">
        <f t="shared" si="7"/>
      </c>
      <c r="V38" s="6" t="s">
        <v>110</v>
      </c>
      <c r="W38" s="6">
        <f>COUNT(E3_Played)</f>
        <v>2</v>
      </c>
      <c r="X38" s="6">
        <f>COUNTIF(Groupstage_Winners,V38)</f>
        <v>0</v>
      </c>
      <c r="Y38" s="6">
        <f>COUNTIF(Groupstage_Losers,V38)</f>
        <v>1</v>
      </c>
      <c r="Z38" s="6">
        <f>W38-(X38+Y38)</f>
        <v>1</v>
      </c>
      <c r="AA38" s="6">
        <f>SUM(E3_Played)</f>
        <v>3</v>
      </c>
      <c r="AB38" s="6">
        <f>SUM(E3_Against)</f>
        <v>1</v>
      </c>
      <c r="AC38" s="6">
        <f>AA38-AB38</f>
        <v>2</v>
      </c>
      <c r="AD38" s="6">
        <f>X38*Winpoints+Z38*Drawpoints</f>
        <v>1</v>
      </c>
      <c r="AE38" s="6" t="str">
        <f>IF($AD38&gt;=$AD39,$V38,$V39)</f>
        <v> République Tchèque </v>
      </c>
      <c r="AF38" s="6">
        <f>VLOOKUP($AE38,$V36:$AD39,9,FALSE)</f>
        <v>3</v>
      </c>
      <c r="AG38" s="6" t="str">
        <f>IF($AF38&lt;=$AF36,$AE38,$AE36)</f>
        <v> République Tchèque </v>
      </c>
      <c r="AH38" s="6">
        <f>VLOOKUP($AG38,$V36:$AD39,9,FALSE)</f>
        <v>3</v>
      </c>
      <c r="AI38" s="6" t="str">
        <f>IF($AH38&lt;=$AH37,$AG38,$AG37)</f>
        <v> République Tchèque </v>
      </c>
      <c r="AJ38" s="6">
        <f>VLOOKUP($AI38,$V36:$AD39,9,FALSE)</f>
        <v>3</v>
      </c>
      <c r="AK38" s="6">
        <f>VLOOKUP($AI38,$V36:$AD39,8,FALSE)</f>
        <v>-4</v>
      </c>
      <c r="AL38" s="6" t="str">
        <f>IF(AND($AJ38=$AJ39,$AK39&gt;$AK38),$AI39,$AI38)</f>
        <v> République Tchèque </v>
      </c>
      <c r="AM38" s="6">
        <f>VLOOKUP($AL38,$V36:$AD39,9,FALSE)</f>
        <v>3</v>
      </c>
      <c r="AN38" s="6">
        <f>VLOOKUP($AL38,$V36:$AD39,8,FALSE)</f>
        <v>-4</v>
      </c>
      <c r="AO38" s="6" t="str">
        <f>IF(AND($AM36=$AM38,$AN38&gt;$AN36),$AL36,$AL38)</f>
        <v> République Tchèque </v>
      </c>
      <c r="AP38" s="6">
        <f>VLOOKUP($AO38,$V36:$AD39,9,FALSE)</f>
        <v>3</v>
      </c>
      <c r="AQ38" s="6">
        <f>VLOOKUP($AO38,$V36:$AD39,8,FALSE)</f>
        <v>-4</v>
      </c>
      <c r="AR38" s="6" t="str">
        <f>IF(AND($AP37=$AP38,$AQ38&gt;$AQ37),$AO37,$AO38)</f>
        <v> République Tchèque </v>
      </c>
      <c r="AS38" s="6">
        <f>VLOOKUP($AR38,$V36:$AD39,9,FALSE)</f>
        <v>3</v>
      </c>
      <c r="AT38" s="6">
        <f>VLOOKUP($AR38,$V36:$AD39,8,FALSE)</f>
        <v>-4</v>
      </c>
      <c r="AU38" s="6">
        <f>VLOOKUP($AR38,$V36:$AD39,6,FALSE)</f>
        <v>0</v>
      </c>
      <c r="AV38" s="6" t="str">
        <f>IF(AND($AS38=$AS39,$AT38=$AT39,$AU39&gt;$AU38),$AR39,$AR38)</f>
        <v> République Tchèque </v>
      </c>
      <c r="AW38" s="6">
        <f>VLOOKUP($AV38,$V36:$AD39,9,FALSE)</f>
        <v>3</v>
      </c>
      <c r="AX38" s="6">
        <f>VLOOKUP($AV38,$V36:$AD39,8,FALSE)</f>
        <v>-4</v>
      </c>
      <c r="AY38" s="6">
        <f>VLOOKUP($AV38,$V36:$AD39,6,FALSE)</f>
        <v>0</v>
      </c>
      <c r="AZ38" s="6" t="str">
        <f>IF(AND($AW36=$AW38,$AX36=$AX38,$AY38&gt;$AY36),$AV36,$AV38)</f>
        <v> République Tchèque </v>
      </c>
      <c r="BA38" s="6">
        <f>VLOOKUP($AZ38,$V36:$AD39,9,FALSE)</f>
        <v>3</v>
      </c>
      <c r="BB38" s="6">
        <f>VLOOKUP($AZ38,$V36:$AD39,8,FALSE)</f>
        <v>-4</v>
      </c>
      <c r="BC38" s="6">
        <f>VLOOKUP($AZ38,$V36:$AD39,6,FALSE)</f>
        <v>0</v>
      </c>
      <c r="BD38" s="6" t="str">
        <f>IF(AND($BA37=$BA38,$BB37=$BB38,$BC38&gt;$BC37),$AZ37,$AZ38)</f>
        <v> République Tchèque </v>
      </c>
      <c r="BE38" s="6">
        <f>VLOOKUP($BD38,$V36:$AD39,9,FALSE)</f>
        <v>3</v>
      </c>
      <c r="BF38" s="6">
        <f>VLOOKUP($BD38,$V36:$AD39,8,FALSE)</f>
        <v>-4</v>
      </c>
      <c r="BG38" s="6">
        <f>VLOOKUP($BD38,$V36:$AD39,6,FALSE)</f>
        <v>0</v>
      </c>
      <c r="BK38" s="6" t="str">
        <f>BD38</f>
        <v> République Tchèque </v>
      </c>
      <c r="BL38" s="6">
        <f>VLOOKUP($BK38,$V36:$AD39,2,FALSE)</f>
        <v>2</v>
      </c>
      <c r="BM38" s="6">
        <f>VLOOKUP($BK38,$V36:$AD39,3,FALSE)</f>
        <v>1</v>
      </c>
      <c r="BN38" s="6">
        <f>VLOOKUP($BK38,$V36:$AD39,4,FALSE)</f>
        <v>1</v>
      </c>
      <c r="BO38" s="6">
        <f>VLOOKUP($BK38,$V36:$AD39,5,FALSE)</f>
        <v>0</v>
      </c>
      <c r="BP38" s="6">
        <f>VLOOKUP($BK38,$V36:$AD39,6,FALSE)</f>
        <v>0</v>
      </c>
      <c r="BQ38" s="6">
        <f>VLOOKUP($BK38,$V36:$AD39,7,FALSE)</f>
        <v>4</v>
      </c>
      <c r="BR38" s="6">
        <f>VLOOKUP($BK38,$V36:$AD39,8,FALSE)</f>
        <v>-4</v>
      </c>
      <c r="BS38" s="6">
        <f>VLOOKUP($BK38,$V36:$AD39,9,FALSE)</f>
        <v>3</v>
      </c>
      <c r="BX38" s="47">
        <v>38890.583333333336</v>
      </c>
      <c r="BY38" s="22"/>
      <c r="CE38" s="24"/>
    </row>
    <row r="39" spans="1:83" ht="15.75" thickBot="1">
      <c r="A39" s="2">
        <f>BX39+(VLOOKUP('Group Points'!$E$2,'Group Points'!$D$4:$E$27,2)/24)</f>
        <v>38890.66666666667</v>
      </c>
      <c r="B39" s="3">
        <f>BX39+(VLOOKUP('Group Points'!$E$2,'Group Points'!$D$4:$E$27,2)/24)</f>
        <v>38890.66666666667</v>
      </c>
      <c r="C39" s="4" t="str">
        <f>$V$37</f>
        <v> Ghana </v>
      </c>
      <c r="D39" s="49"/>
      <c r="E39" s="50"/>
      <c r="F39" s="26" t="str">
        <f>$V$38</f>
        <v> Etats-Unis </v>
      </c>
      <c r="G39" s="20" t="s">
        <v>72</v>
      </c>
      <c r="H39" s="21" t="s">
        <v>37</v>
      </c>
      <c r="I39" s="6">
        <f t="shared" si="6"/>
      </c>
      <c r="J39" s="6">
        <f t="shared" si="7"/>
      </c>
      <c r="L39" s="37" t="s">
        <v>85</v>
      </c>
      <c r="M39" s="43"/>
      <c r="N39" s="43"/>
      <c r="O39" s="43"/>
      <c r="P39" s="43"/>
      <c r="Q39" s="38"/>
      <c r="R39" s="38"/>
      <c r="S39" s="38"/>
      <c r="T39" s="9"/>
      <c r="V39" s="6" t="s">
        <v>111</v>
      </c>
      <c r="W39" s="6">
        <f>COUNT(E4_Played)</f>
        <v>2</v>
      </c>
      <c r="X39" s="6">
        <f>COUNTIF(Groupstage_Winners,V39)</f>
        <v>1</v>
      </c>
      <c r="Y39" s="6">
        <f>COUNTIF(Groupstage_Losers,V39)</f>
        <v>1</v>
      </c>
      <c r="Z39" s="6">
        <f>W39-(X39+Y39)</f>
        <v>0</v>
      </c>
      <c r="AA39" s="6">
        <f>SUM(E4_Played)</f>
        <v>0</v>
      </c>
      <c r="AB39" s="6">
        <f>SUM(E4_Against)</f>
        <v>4</v>
      </c>
      <c r="AC39" s="6">
        <f>AA39-AB39</f>
        <v>-4</v>
      </c>
      <c r="AD39" s="6">
        <f>X39*Winpoints+Z39*Drawpoints</f>
        <v>3</v>
      </c>
      <c r="AE39" s="6" t="str">
        <f>IF($AD39&lt;=$AD38,$V39,$V38)</f>
        <v> Etats-Unis </v>
      </c>
      <c r="AF39" s="6">
        <f>VLOOKUP($AE39,$V36:$AD39,9,FALSE)</f>
        <v>1</v>
      </c>
      <c r="AG39" s="6" t="str">
        <f>IF(AF39&lt;=AF37,AE39,AE37)</f>
        <v> Etats-Unis </v>
      </c>
      <c r="AH39" s="6">
        <f>VLOOKUP($AG39,$V36:$AD39,9,FALSE)</f>
        <v>1</v>
      </c>
      <c r="AI39" s="6" t="str">
        <f>IF($AH39&lt;=$AH36,$AG39,$AG36)</f>
        <v> Etats-Unis </v>
      </c>
      <c r="AJ39" s="6">
        <f>VLOOKUP($AI39,$V36:$AD39,9,FALSE)</f>
        <v>1</v>
      </c>
      <c r="AK39" s="6">
        <f>VLOOKUP($AI39,$V36:$AD39,8,FALSE)</f>
        <v>2</v>
      </c>
      <c r="AL39" s="6" t="str">
        <f>IF(AND($AJ38=$AJ39,$AK39&gt;$AK38),$AI38,$AI39)</f>
        <v> Etats-Unis </v>
      </c>
      <c r="AM39" s="6">
        <f>VLOOKUP($AL39,$V36:$AD39,9,FALSE)</f>
        <v>1</v>
      </c>
      <c r="AN39" s="6">
        <f>VLOOKUP($AL39,$V36:$AD39,8,FALSE)</f>
        <v>2</v>
      </c>
      <c r="AO39" s="6" t="str">
        <f>IF(AND($AM37=$AM39,$AN39&gt;$AN37),$AL37,$AL39)</f>
        <v> Etats-Unis </v>
      </c>
      <c r="AP39" s="6">
        <f>VLOOKUP($AO39,$V36:$AD39,9,FALSE)</f>
        <v>1</v>
      </c>
      <c r="AQ39" s="6">
        <f>VLOOKUP($AO39,$V36:$AD39,8,FALSE)</f>
        <v>2</v>
      </c>
      <c r="AR39" s="6" t="str">
        <f>IF(AND($AP36=$AP39,$AQ39&gt;$AQ36),$AO36,$AO39)</f>
        <v> Etats-Unis </v>
      </c>
      <c r="AS39" s="6">
        <f>VLOOKUP($AR39,$V36:$AD39,9,FALSE)</f>
        <v>1</v>
      </c>
      <c r="AT39" s="6">
        <f>VLOOKUP($AR39,$V36:$AD39,8,FALSE)</f>
        <v>2</v>
      </c>
      <c r="AU39" s="6">
        <f>VLOOKUP($AR39,$V36:$AD39,6,FALSE)</f>
        <v>3</v>
      </c>
      <c r="AV39" s="6" t="str">
        <f>IF(AND($AS38=$AS39,$AT38=$AT39,$AU39&gt;$AU38),$AR38,$AR39)</f>
        <v> Etats-Unis </v>
      </c>
      <c r="AW39" s="6">
        <f>VLOOKUP($AV39,$V36:$AD39,9,FALSE)</f>
        <v>1</v>
      </c>
      <c r="AX39" s="6">
        <f>VLOOKUP($AV39,$V36:$AD39,8,FALSE)</f>
        <v>2</v>
      </c>
      <c r="AY39" s="6">
        <f>VLOOKUP($AV39,$V36:$AD39,6,FALSE)</f>
        <v>3</v>
      </c>
      <c r="AZ39" s="6" t="str">
        <f>IF(AND($AW37=$AW39,$AX37=$AX39,$AY39&gt;$AY37),$AV37,$AV39)</f>
        <v> Etats-Unis </v>
      </c>
      <c r="BA39" s="6">
        <f>VLOOKUP($AZ39,$V36:$AD39,9,FALSE)</f>
        <v>1</v>
      </c>
      <c r="BB39" s="6">
        <f>VLOOKUP($AZ39,$V36:$AD39,8,FALSE)</f>
        <v>2</v>
      </c>
      <c r="BC39" s="6">
        <f>VLOOKUP($AZ39,$V36:$AD39,6,FALSE)</f>
        <v>3</v>
      </c>
      <c r="BD39" s="6" t="str">
        <f>IF(AND($BA36=$BA39,$BB36=$BB39,$BC39&gt;$BC36),$AZ36,$AZ39)</f>
        <v> Etats-Unis </v>
      </c>
      <c r="BE39" s="6">
        <f>VLOOKUP($BD39,$V36:$AD39,9,FALSE)</f>
        <v>1</v>
      </c>
      <c r="BF39" s="6">
        <f>VLOOKUP($BD39,$V36:$AD39,8,FALSE)</f>
        <v>2</v>
      </c>
      <c r="BG39" s="6">
        <f>VLOOKUP($BD39,$V36:$AD39,6,FALSE)</f>
        <v>3</v>
      </c>
      <c r="BK39" s="6" t="str">
        <f>BD39</f>
        <v> Etats-Unis </v>
      </c>
      <c r="BL39" s="6">
        <f>VLOOKUP($BK39,$V36:$AD39,2,FALSE)</f>
        <v>2</v>
      </c>
      <c r="BM39" s="6">
        <f>VLOOKUP($BK39,$V36:$AD39,3,FALSE)</f>
        <v>0</v>
      </c>
      <c r="BN39" s="6">
        <f>VLOOKUP($BK39,$V36:$AD39,4,FALSE)</f>
        <v>1</v>
      </c>
      <c r="BO39" s="6">
        <f>VLOOKUP($BK39,$V36:$AD39,5,FALSE)</f>
        <v>1</v>
      </c>
      <c r="BP39" s="6">
        <f>VLOOKUP($BK39,$V36:$AD39,6,FALSE)</f>
        <v>3</v>
      </c>
      <c r="BQ39" s="6">
        <f>VLOOKUP($BK39,$V36:$AD39,7,FALSE)</f>
        <v>1</v>
      </c>
      <c r="BR39" s="6">
        <f>VLOOKUP($BK39,$V36:$AD39,8,FALSE)</f>
        <v>2</v>
      </c>
      <c r="BS39" s="6">
        <f>VLOOKUP($BK39,$V36:$AD39,9,FALSE)</f>
        <v>1</v>
      </c>
      <c r="BX39" s="47">
        <v>38890.583333333336</v>
      </c>
      <c r="BY39" s="22"/>
      <c r="CE39" s="24"/>
    </row>
    <row r="40" spans="1:83" ht="13.5" thickBot="1">
      <c r="A40" s="2">
        <f>BX40+(VLOOKUP('Group Points'!$E$2,'Group Points'!$D$4:$E$27,2)/24)</f>
        <v>38881.875</v>
      </c>
      <c r="B40" s="3">
        <f>BX40+(VLOOKUP('Group Points'!$E$2,'Group Points'!$D$4:$E$27,2)/24)</f>
        <v>38881.875</v>
      </c>
      <c r="C40" s="4" t="str">
        <f>$V$43</f>
        <v> Brésil </v>
      </c>
      <c r="D40" s="49">
        <v>1</v>
      </c>
      <c r="E40" s="50">
        <v>0</v>
      </c>
      <c r="F40" s="26" t="str">
        <f>$V$45</f>
        <v> Croatie </v>
      </c>
      <c r="G40" s="20" t="s">
        <v>69</v>
      </c>
      <c r="H40" s="21" t="s">
        <v>7</v>
      </c>
      <c r="I40" s="6" t="str">
        <f t="shared" si="6"/>
        <v> Brésil </v>
      </c>
      <c r="J40" s="6" t="str">
        <f t="shared" si="7"/>
        <v> Croatie </v>
      </c>
      <c r="L40" s="39"/>
      <c r="M40" s="42" t="s">
        <v>29</v>
      </c>
      <c r="N40" s="42" t="s">
        <v>10</v>
      </c>
      <c r="O40" s="42" t="s">
        <v>11</v>
      </c>
      <c r="P40" s="42" t="s">
        <v>1</v>
      </c>
      <c r="Q40" s="14" t="s">
        <v>7</v>
      </c>
      <c r="R40" s="14" t="s">
        <v>2</v>
      </c>
      <c r="S40" s="14" t="s">
        <v>8</v>
      </c>
      <c r="T40" s="15" t="s">
        <v>30</v>
      </c>
      <c r="BX40" s="47">
        <v>38881.791666666664</v>
      </c>
      <c r="BY40" s="22"/>
      <c r="CE40" s="24"/>
    </row>
    <row r="41" spans="1:83" ht="13.5" thickBot="1">
      <c r="A41" s="2">
        <f>BX41+(VLOOKUP('Group Points'!$E$2,'Group Points'!$D$4:$E$27,2)/24)</f>
        <v>38880.625</v>
      </c>
      <c r="B41" s="3">
        <f>BX41+(VLOOKUP('Group Points'!$E$2,'Group Points'!$D$4:$E$27,2)/24)</f>
        <v>38880.625</v>
      </c>
      <c r="C41" s="4" t="str">
        <f>$V$44</f>
        <v> Australie </v>
      </c>
      <c r="D41" s="49">
        <v>3</v>
      </c>
      <c r="E41" s="50">
        <v>1</v>
      </c>
      <c r="F41" s="26" t="str">
        <f>$V$46</f>
        <v> Japon </v>
      </c>
      <c r="G41" s="20" t="s">
        <v>77</v>
      </c>
      <c r="H41" s="21" t="s">
        <v>7</v>
      </c>
      <c r="I41" s="6" t="str">
        <f t="shared" si="6"/>
        <v> Australie </v>
      </c>
      <c r="J41" s="6" t="str">
        <f t="shared" si="7"/>
        <v> Japon </v>
      </c>
      <c r="L41" s="40" t="str">
        <f aca="true" t="shared" si="9" ref="L41:T44">BK43</f>
        <v> Brésil </v>
      </c>
      <c r="M41" s="21">
        <f t="shared" si="9"/>
        <v>2</v>
      </c>
      <c r="N41" s="21">
        <f t="shared" si="9"/>
        <v>2</v>
      </c>
      <c r="O41" s="21">
        <f t="shared" si="9"/>
        <v>0</v>
      </c>
      <c r="P41" s="21">
        <f t="shared" si="9"/>
        <v>0</v>
      </c>
      <c r="Q41" s="18">
        <f t="shared" si="9"/>
        <v>3</v>
      </c>
      <c r="R41" s="18">
        <f t="shared" si="9"/>
        <v>1</v>
      </c>
      <c r="S41" s="18">
        <f t="shared" si="9"/>
        <v>2</v>
      </c>
      <c r="T41" s="53">
        <f t="shared" si="9"/>
        <v>6</v>
      </c>
      <c r="V41" s="6" t="s">
        <v>34</v>
      </c>
      <c r="BX41" s="47">
        <v>38880.541666666664</v>
      </c>
      <c r="BY41" s="3"/>
      <c r="CE41" s="24"/>
    </row>
    <row r="42" spans="1:83" ht="13.5" thickBot="1">
      <c r="A42" s="2">
        <f>BX42+(VLOOKUP('Group Points'!$E$2,'Group Points'!$D$4:$E$27,2)/24)</f>
        <v>38886.625</v>
      </c>
      <c r="B42" s="3">
        <f>BX42+(VLOOKUP('Group Points'!$E$2,'Group Points'!$D$4:$E$27,2)/24)</f>
        <v>38886.625</v>
      </c>
      <c r="C42" s="4" t="str">
        <f>$V$43</f>
        <v> Brésil </v>
      </c>
      <c r="D42" s="49">
        <v>2</v>
      </c>
      <c r="E42" s="50">
        <v>0</v>
      </c>
      <c r="F42" s="26" t="str">
        <f>$V$44</f>
        <v> Australie </v>
      </c>
      <c r="G42" s="20" t="s">
        <v>65</v>
      </c>
      <c r="H42" s="21" t="s">
        <v>7</v>
      </c>
      <c r="I42" s="6" t="str">
        <f t="shared" si="6"/>
        <v> Brésil </v>
      </c>
      <c r="J42" s="6" t="str">
        <f t="shared" si="7"/>
        <v> Australie </v>
      </c>
      <c r="L42" s="40" t="str">
        <f t="shared" si="9"/>
        <v> Australie </v>
      </c>
      <c r="M42" s="21">
        <f t="shared" si="9"/>
        <v>2</v>
      </c>
      <c r="N42" s="21">
        <f t="shared" si="9"/>
        <v>1</v>
      </c>
      <c r="O42" s="21">
        <f t="shared" si="9"/>
        <v>1</v>
      </c>
      <c r="P42" s="21">
        <f t="shared" si="9"/>
        <v>0</v>
      </c>
      <c r="Q42" s="18">
        <f t="shared" si="9"/>
        <v>1</v>
      </c>
      <c r="R42" s="18">
        <f t="shared" si="9"/>
        <v>5</v>
      </c>
      <c r="S42" s="18">
        <f t="shared" si="9"/>
        <v>-4</v>
      </c>
      <c r="T42" s="53">
        <f t="shared" si="9"/>
        <v>3</v>
      </c>
      <c r="W42" s="6" t="s">
        <v>6</v>
      </c>
      <c r="X42" s="6" t="s">
        <v>10</v>
      </c>
      <c r="Y42" s="6" t="s">
        <v>11</v>
      </c>
      <c r="Z42" s="6" t="s">
        <v>1</v>
      </c>
      <c r="AA42" s="6" t="s">
        <v>7</v>
      </c>
      <c r="AB42" s="6" t="s">
        <v>2</v>
      </c>
      <c r="AC42" s="6" t="s">
        <v>8</v>
      </c>
      <c r="AD42" s="6" t="s">
        <v>9</v>
      </c>
      <c r="BX42" s="47">
        <v>38886.541666666664</v>
      </c>
      <c r="BY42" s="22"/>
      <c r="CE42" s="24"/>
    </row>
    <row r="43" spans="1:83" ht="13.5" thickBot="1">
      <c r="A43" s="2">
        <f>BX43+(VLOOKUP('Group Points'!$E$2,'Group Points'!$D$4:$E$27,2)/24)</f>
        <v>38886.75</v>
      </c>
      <c r="B43" s="3">
        <f>BX43+(VLOOKUP('Group Points'!$E$2,'Group Points'!$D$4:$E$27,2)/24)</f>
        <v>38886.75</v>
      </c>
      <c r="C43" s="4" t="str">
        <f>$V$46</f>
        <v> Japon </v>
      </c>
      <c r="D43" s="49">
        <v>0</v>
      </c>
      <c r="E43" s="50">
        <v>0</v>
      </c>
      <c r="F43" s="26" t="str">
        <f>$V$45</f>
        <v> Croatie </v>
      </c>
      <c r="G43" s="20" t="s">
        <v>72</v>
      </c>
      <c r="H43" s="21" t="s">
        <v>7</v>
      </c>
      <c r="I43" s="6" t="str">
        <f t="shared" si="6"/>
        <v>Draw</v>
      </c>
      <c r="J43" s="6" t="str">
        <f t="shared" si="7"/>
        <v>Draw</v>
      </c>
      <c r="L43" s="40" t="str">
        <f t="shared" si="9"/>
        <v> Japon </v>
      </c>
      <c r="M43" s="21">
        <f t="shared" si="9"/>
        <v>2</v>
      </c>
      <c r="N43" s="21">
        <f t="shared" si="9"/>
        <v>0</v>
      </c>
      <c r="O43" s="21">
        <f t="shared" si="9"/>
        <v>1</v>
      </c>
      <c r="P43" s="21">
        <f t="shared" si="9"/>
        <v>1</v>
      </c>
      <c r="Q43" s="18">
        <f t="shared" si="9"/>
        <v>2</v>
      </c>
      <c r="R43" s="18">
        <f t="shared" si="9"/>
        <v>1</v>
      </c>
      <c r="S43" s="18">
        <f t="shared" si="9"/>
        <v>1</v>
      </c>
      <c r="T43" s="53">
        <f t="shared" si="9"/>
        <v>1</v>
      </c>
      <c r="V43" s="6" t="s">
        <v>112</v>
      </c>
      <c r="W43" s="6">
        <f>COUNT(F1_Played)</f>
        <v>2</v>
      </c>
      <c r="X43" s="6">
        <f>COUNTIF(Groupstage_Winners,V43)</f>
        <v>2</v>
      </c>
      <c r="Y43" s="6">
        <f>COUNTIF(Groupstage_Losers,V43)</f>
        <v>0</v>
      </c>
      <c r="Z43" s="6">
        <f>W43-(X43+Y43)</f>
        <v>0</v>
      </c>
      <c r="AA43" s="6">
        <f>SUM(F1_Played)</f>
        <v>3</v>
      </c>
      <c r="AB43" s="6">
        <f>SUM(F1_Against)</f>
        <v>1</v>
      </c>
      <c r="AC43" s="6">
        <f>AA43-AB43</f>
        <v>2</v>
      </c>
      <c r="AD43" s="6">
        <f>X43*Winpoints+Z43*Drawpoints</f>
        <v>6</v>
      </c>
      <c r="AE43" s="6" t="str">
        <f>IF($AD43&gt;=$AD44,$V43,$V44)</f>
        <v> Brésil </v>
      </c>
      <c r="AF43" s="6">
        <f>VLOOKUP($AE43,$V43:$AD46,9,FALSE)</f>
        <v>6</v>
      </c>
      <c r="AG43" s="6" t="str">
        <f>IF($AF43&gt;=$AF45,$AE43,$AE45)</f>
        <v> Brésil </v>
      </c>
      <c r="AH43" s="6">
        <f>VLOOKUP($AG43,$V43:$AD46,9,FALSE)</f>
        <v>6</v>
      </c>
      <c r="AI43" s="6" t="str">
        <f>IF($AH43&gt;=$AH46,$AG43,$AG46)</f>
        <v> Brésil </v>
      </c>
      <c r="AJ43" s="6">
        <f>VLOOKUP($AI43,$V43:$AD46,9,FALSE)</f>
        <v>6</v>
      </c>
      <c r="AK43" s="6">
        <f>VLOOKUP($AI43,$V43:$AD46,8,FALSE)</f>
        <v>2</v>
      </c>
      <c r="AL43" s="6" t="str">
        <f>IF(AND($AJ43=$AJ44,$AK44&gt;$AK43),$AI44,$AI43)</f>
        <v> Brésil </v>
      </c>
      <c r="AM43" s="6">
        <f>VLOOKUP($AL43,$V43:$AD46,9,FALSE)</f>
        <v>6</v>
      </c>
      <c r="AN43" s="6">
        <f>VLOOKUP($AL43,$V43:$AD46,8,FALSE)</f>
        <v>2</v>
      </c>
      <c r="AO43" s="6" t="str">
        <f>IF(AND($AM43=$AM45,$AN45&gt;$AN43),$AL45,$AL43)</f>
        <v> Brésil </v>
      </c>
      <c r="AP43" s="6">
        <f>VLOOKUP($AO43,$V43:$AD46,9,FALSE)</f>
        <v>6</v>
      </c>
      <c r="AQ43" s="6">
        <f>VLOOKUP($AO43,$V43:$AD46,8,FALSE)</f>
        <v>2</v>
      </c>
      <c r="AR43" s="6" t="str">
        <f>IF(AND($AP43=$AP46,$AQ46&gt;$AQ43),$AO46,$AO43)</f>
        <v> Brésil </v>
      </c>
      <c r="AS43" s="6">
        <f>VLOOKUP($AR43,$V43:$AD46,9,FALSE)</f>
        <v>6</v>
      </c>
      <c r="AT43" s="6">
        <f>VLOOKUP($AR43,$V43:$AD46,8,FALSE)</f>
        <v>2</v>
      </c>
      <c r="AU43" s="6">
        <f>VLOOKUP($AR43,$V43:$AD46,6,FALSE)</f>
        <v>3</v>
      </c>
      <c r="AV43" s="6" t="str">
        <f>IF(AND($AS43=$AS44,$AT43=$AT44,$AU44&gt;$AU43),$AR44,$AR43)</f>
        <v> Brésil </v>
      </c>
      <c r="AW43" s="6">
        <f>VLOOKUP($AV43,$V43:$AD46,9,FALSE)</f>
        <v>6</v>
      </c>
      <c r="AX43" s="6">
        <f>VLOOKUP($AV43,$V43:$AD46,8,FALSE)</f>
        <v>2</v>
      </c>
      <c r="AY43" s="6">
        <f>VLOOKUP($AV43,$V43:$AD46,6,FALSE)</f>
        <v>3</v>
      </c>
      <c r="AZ43" s="6" t="str">
        <f>IF(AND($AW43=$AW45,$AX43=$AX45,$AY45&gt;$AY43),$AV45,$AV43)</f>
        <v> Brésil </v>
      </c>
      <c r="BA43" s="6">
        <f>VLOOKUP($AZ43,$V43:$AD46,9,FALSE)</f>
        <v>6</v>
      </c>
      <c r="BB43" s="6">
        <f>VLOOKUP($AZ43,$V43:$AD46,8,FALSE)</f>
        <v>2</v>
      </c>
      <c r="BC43" s="6">
        <f>VLOOKUP($AZ43,$V43:$AD46,6,FALSE)</f>
        <v>3</v>
      </c>
      <c r="BD43" s="6" t="str">
        <f>IF(AND($BA43=$BA46,$BB43=$BB46,$BC46&gt;$BC43),$AZ46,$AZ43)</f>
        <v> Brésil </v>
      </c>
      <c r="BE43" s="6">
        <f>VLOOKUP($BD43,$V43:$AD46,9,FALSE)</f>
        <v>6</v>
      </c>
      <c r="BF43" s="6">
        <f>VLOOKUP($BD43,$V43:$AD46,8,FALSE)</f>
        <v>2</v>
      </c>
      <c r="BG43" s="6">
        <f>VLOOKUP($BD43,$V43:$AD46,6,FALSE)</f>
        <v>3</v>
      </c>
      <c r="BK43" s="6" t="str">
        <f>BD43</f>
        <v> Brésil </v>
      </c>
      <c r="BL43" s="6">
        <f>VLOOKUP($BK43,$V43:$AD46,2,FALSE)</f>
        <v>2</v>
      </c>
      <c r="BM43" s="6">
        <f>VLOOKUP($BK43,$V43:$AD46,3,FALSE)</f>
        <v>2</v>
      </c>
      <c r="BN43" s="6">
        <f>VLOOKUP($BK43,$V43:$AD46,4,FALSE)</f>
        <v>0</v>
      </c>
      <c r="BO43" s="6">
        <f>VLOOKUP($BK43,$V43:$AD46,5,FALSE)</f>
        <v>0</v>
      </c>
      <c r="BP43" s="6">
        <f>VLOOKUP($BK43,$V43:$AD46,6,FALSE)</f>
        <v>3</v>
      </c>
      <c r="BQ43" s="6">
        <f>VLOOKUP($BK43,$V43:$AD46,7,FALSE)</f>
        <v>1</v>
      </c>
      <c r="BR43" s="6">
        <f>VLOOKUP($BK43,$V43:$AD46,8,FALSE)</f>
        <v>2</v>
      </c>
      <c r="BS43" s="6">
        <f>VLOOKUP($BK43,$V43:$AD46,9,FALSE)</f>
        <v>6</v>
      </c>
      <c r="BX43" s="47">
        <v>38886.666666666664</v>
      </c>
      <c r="BY43" s="22"/>
      <c r="CE43" s="24"/>
    </row>
    <row r="44" spans="1:83" ht="13.5" thickBot="1">
      <c r="A44" s="2">
        <f>BX44+(VLOOKUP('Group Points'!$E$2,'Group Points'!$D$4:$E$27,2)/24)</f>
        <v>38890.875</v>
      </c>
      <c r="B44" s="3">
        <f>BX44+(VLOOKUP('Group Points'!$E$2,'Group Points'!$D$4:$E$27,2)/24)</f>
        <v>38890.875</v>
      </c>
      <c r="C44" s="4" t="str">
        <f>$V$46</f>
        <v> Japon </v>
      </c>
      <c r="D44" s="49"/>
      <c r="E44" s="50"/>
      <c r="F44" s="26" t="str">
        <f>$V$43</f>
        <v> Brésil </v>
      </c>
      <c r="G44" s="20" t="s">
        <v>67</v>
      </c>
      <c r="H44" s="21" t="s">
        <v>7</v>
      </c>
      <c r="I44" s="6">
        <f t="shared" si="6"/>
      </c>
      <c r="J44" s="6">
        <f t="shared" si="7"/>
      </c>
      <c r="L44" s="41" t="str">
        <f t="shared" si="9"/>
        <v> Croatie </v>
      </c>
      <c r="M44" s="44">
        <f t="shared" si="9"/>
        <v>2</v>
      </c>
      <c r="N44" s="44">
        <f t="shared" si="9"/>
        <v>0</v>
      </c>
      <c r="O44" s="44">
        <f t="shared" si="9"/>
        <v>1</v>
      </c>
      <c r="P44" s="44">
        <f t="shared" si="9"/>
        <v>1</v>
      </c>
      <c r="Q44" s="25">
        <f t="shared" si="9"/>
        <v>1</v>
      </c>
      <c r="R44" s="25">
        <f t="shared" si="9"/>
        <v>0</v>
      </c>
      <c r="S44" s="25">
        <f t="shared" si="9"/>
        <v>1</v>
      </c>
      <c r="T44" s="54">
        <f t="shared" si="9"/>
        <v>1</v>
      </c>
      <c r="V44" s="6" t="s">
        <v>113</v>
      </c>
      <c r="W44" s="6">
        <f>COUNT(F2_Played)</f>
        <v>2</v>
      </c>
      <c r="X44" s="6">
        <f>COUNTIF(Groupstage_Winners,V44)</f>
        <v>1</v>
      </c>
      <c r="Y44" s="6">
        <f>COUNTIF(Groupstage_Losers,V44)</f>
        <v>1</v>
      </c>
      <c r="Z44" s="6">
        <f>W44-(X44+Y44)</f>
        <v>0</v>
      </c>
      <c r="AA44" s="6">
        <f>SUM(F2_Played)</f>
        <v>1</v>
      </c>
      <c r="AB44" s="6">
        <f>SUM(F2_Against)</f>
        <v>5</v>
      </c>
      <c r="AC44" s="6">
        <f>AA44-AB44</f>
        <v>-4</v>
      </c>
      <c r="AD44" s="6">
        <f>X44*Winpoints+Z44*Drawpoints</f>
        <v>3</v>
      </c>
      <c r="AE44" s="6" t="str">
        <f>IF($AD44&lt;=$AD43,$V44,$V43)</f>
        <v> Australie </v>
      </c>
      <c r="AF44" s="6">
        <f>VLOOKUP($AE44,$V43:$AD46,9,FALSE)</f>
        <v>3</v>
      </c>
      <c r="AG44" s="6" t="str">
        <f>IF(AF44&gt;=AF46,AE44,AE46)</f>
        <v> Australie </v>
      </c>
      <c r="AH44" s="6">
        <f>VLOOKUP($AG44,$V43:$AD46,9,FALSE)</f>
        <v>3</v>
      </c>
      <c r="AI44" s="6" t="str">
        <f>IF($AH44&gt;=$AH45,$AG44,$AG45)</f>
        <v> Australie </v>
      </c>
      <c r="AJ44" s="6">
        <f>VLOOKUP($AI44,$V43:$AD46,9,FALSE)</f>
        <v>3</v>
      </c>
      <c r="AK44" s="6">
        <f>VLOOKUP($AI44,$V43:$AD46,8,FALSE)</f>
        <v>-4</v>
      </c>
      <c r="AL44" s="6" t="str">
        <f>IF(AND($AJ43=$AJ44,$AK44&gt;$AK43),$AI43,$AI44)</f>
        <v> Australie </v>
      </c>
      <c r="AM44" s="6">
        <f>VLOOKUP($AL44,$V43:$AD46,9,FALSE)</f>
        <v>3</v>
      </c>
      <c r="AN44" s="6">
        <f>VLOOKUP($AL44,$V43:$AD46,8,FALSE)</f>
        <v>-4</v>
      </c>
      <c r="AO44" s="6" t="str">
        <f>IF(AND($AM44=$AM46,$AN46&gt;$AN44),$AL46,$AL44)</f>
        <v> Australie </v>
      </c>
      <c r="AP44" s="6">
        <f>VLOOKUP($AO44,$V43:$AD46,9,FALSE)</f>
        <v>3</v>
      </c>
      <c r="AQ44" s="6">
        <f>VLOOKUP($AO44,$V43:$AD46,8,FALSE)</f>
        <v>-4</v>
      </c>
      <c r="AR44" s="6" t="str">
        <f>IF(AND($AP44=$AP45,$AQ45&gt;$AQ44),$AO45,$AO44)</f>
        <v> Australie </v>
      </c>
      <c r="AS44" s="6">
        <f>VLOOKUP($AR44,$V43:$AD46,9,FALSE)</f>
        <v>3</v>
      </c>
      <c r="AT44" s="6">
        <f>VLOOKUP($AR44,$V43:$AD46,8,FALSE)</f>
        <v>-4</v>
      </c>
      <c r="AU44" s="6">
        <f>VLOOKUP($AR44,$V43:$AD46,6,FALSE)</f>
        <v>1</v>
      </c>
      <c r="AV44" s="6" t="str">
        <f>IF(AND($AS43=$AS44,$AT43=$AT44,$AU44&gt;$AU43),$AR43,$AR44)</f>
        <v> Australie </v>
      </c>
      <c r="AW44" s="6">
        <f>VLOOKUP($AV44,$V43:$AD46,9,FALSE)</f>
        <v>3</v>
      </c>
      <c r="AX44" s="6">
        <f>VLOOKUP($AV44,$V43:$AD46,8,FALSE)</f>
        <v>-4</v>
      </c>
      <c r="AY44" s="6">
        <f>VLOOKUP($AV44,$V43:$AD46,6,FALSE)</f>
        <v>1</v>
      </c>
      <c r="AZ44" s="6" t="str">
        <f>IF(AND($AW44=$AW46,$AX44=$AX46,$AY46&gt;$AY44),$AV46,$AV44)</f>
        <v> Australie </v>
      </c>
      <c r="BA44" s="6">
        <f>VLOOKUP($AZ44,$V43:$AD46,9,FALSE)</f>
        <v>3</v>
      </c>
      <c r="BB44" s="6">
        <f>VLOOKUP($AZ44,$V43:$AD46,8,FALSE)</f>
        <v>-4</v>
      </c>
      <c r="BC44" s="6">
        <f>VLOOKUP($AZ44,$V43:$AD46,6,FALSE)</f>
        <v>1</v>
      </c>
      <c r="BD44" s="6" t="str">
        <f>IF(AND($BA44=$BA45,$BB44=$BB45,$BC45&gt;$BC44),$AZ45,$AZ44)</f>
        <v> Australie </v>
      </c>
      <c r="BE44" s="6">
        <f>VLOOKUP($BD44,$V43:$AD46,9,FALSE)</f>
        <v>3</v>
      </c>
      <c r="BF44" s="6">
        <f>VLOOKUP($BD44,$V43:$AD46,8,FALSE)</f>
        <v>-4</v>
      </c>
      <c r="BG44" s="6">
        <f>VLOOKUP($BD44,$V43:$AD46,6,FALSE)</f>
        <v>1</v>
      </c>
      <c r="BK44" s="6" t="str">
        <f>BD44</f>
        <v> Australie </v>
      </c>
      <c r="BL44" s="6">
        <f>VLOOKUP($BK44,$V43:$AD46,2,FALSE)</f>
        <v>2</v>
      </c>
      <c r="BM44" s="6">
        <f>VLOOKUP($BK44,$V43:$AD46,3,FALSE)</f>
        <v>1</v>
      </c>
      <c r="BN44" s="6">
        <f>VLOOKUP($BK44,$V43:$AD46,4,FALSE)</f>
        <v>1</v>
      </c>
      <c r="BO44" s="6">
        <f>VLOOKUP($BK44,$V43:$AD46,5,FALSE)</f>
        <v>0</v>
      </c>
      <c r="BP44" s="6">
        <f>VLOOKUP($BK44,$V43:$AD46,6,FALSE)</f>
        <v>1</v>
      </c>
      <c r="BQ44" s="6">
        <f>VLOOKUP($BK44,$V43:$AD46,7,FALSE)</f>
        <v>5</v>
      </c>
      <c r="BR44" s="6">
        <f>VLOOKUP($BK44,$V43:$AD46,8,FALSE)</f>
        <v>-4</v>
      </c>
      <c r="BS44" s="6">
        <f>VLOOKUP($BK44,$V43:$AD46,9,FALSE)</f>
        <v>3</v>
      </c>
      <c r="BX44" s="47">
        <v>38890.791666666664</v>
      </c>
      <c r="BY44" s="22"/>
      <c r="CE44" s="24"/>
    </row>
    <row r="45" spans="1:83" ht="13.5" thickBot="1">
      <c r="A45" s="2">
        <f>BX45+(VLOOKUP('Group Points'!$E$2,'Group Points'!$D$4:$E$27,2)/24)</f>
        <v>38890.875</v>
      </c>
      <c r="B45" s="3">
        <f>BX45+(VLOOKUP('Group Points'!$E$2,'Group Points'!$D$4:$E$27,2)/24)</f>
        <v>38890.875</v>
      </c>
      <c r="C45" s="4" t="str">
        <f>$V$45</f>
        <v> Croatie </v>
      </c>
      <c r="D45" s="49"/>
      <c r="E45" s="50"/>
      <c r="F45" s="26" t="str">
        <f>$V$44</f>
        <v> Australie </v>
      </c>
      <c r="G45" s="20" t="s">
        <v>76</v>
      </c>
      <c r="H45" s="21" t="s">
        <v>7</v>
      </c>
      <c r="I45" s="6">
        <f t="shared" si="6"/>
      </c>
      <c r="J45" s="6">
        <f t="shared" si="7"/>
      </c>
      <c r="V45" s="6" t="s">
        <v>114</v>
      </c>
      <c r="W45" s="6">
        <f>COUNT(F3_Played)</f>
        <v>2</v>
      </c>
      <c r="X45" s="6">
        <f>COUNTIF(Groupstage_Winners,V45)</f>
        <v>0</v>
      </c>
      <c r="Y45" s="6">
        <f>COUNTIF(Groupstage_Losers,V45)</f>
        <v>1</v>
      </c>
      <c r="Z45" s="6">
        <f>W45-(X45+Y45)</f>
        <v>1</v>
      </c>
      <c r="AA45" s="6">
        <f>SUM(F3_Played)</f>
        <v>1</v>
      </c>
      <c r="AB45" s="6">
        <f>SUM(F3_Against)</f>
        <v>0</v>
      </c>
      <c r="AC45" s="6">
        <f>AA45-AB45</f>
        <v>1</v>
      </c>
      <c r="AD45" s="6">
        <f>X45*Winpoints+Z45*Drawpoints</f>
        <v>1</v>
      </c>
      <c r="AE45" s="6" t="str">
        <f>IF($AD45&gt;=$AD46,$V45,$V46)</f>
        <v> Croatie </v>
      </c>
      <c r="AF45" s="6">
        <f>VLOOKUP($AE45,$V43:$AD46,9,FALSE)</f>
        <v>1</v>
      </c>
      <c r="AG45" s="6" t="str">
        <f>IF($AF45&lt;=$AF43,$AE45,$AE43)</f>
        <v> Croatie </v>
      </c>
      <c r="AH45" s="6">
        <f>VLOOKUP($AG45,$V43:$AD46,9,FALSE)</f>
        <v>1</v>
      </c>
      <c r="AI45" s="6" t="str">
        <f>IF($AH45&lt;=$AH44,$AG45,$AG44)</f>
        <v> Croatie </v>
      </c>
      <c r="AJ45" s="6">
        <f>VLOOKUP($AI45,$V43:$AD46,9,FALSE)</f>
        <v>1</v>
      </c>
      <c r="AK45" s="6">
        <f>VLOOKUP($AI45,$V43:$AD46,8,FALSE)</f>
        <v>1</v>
      </c>
      <c r="AL45" s="6" t="str">
        <f>IF(AND($AJ45=$AJ46,$AK46&gt;$AK45),$AI46,$AI45)</f>
        <v> Croatie </v>
      </c>
      <c r="AM45" s="6">
        <f>VLOOKUP($AL45,$V43:$AD46,9,FALSE)</f>
        <v>1</v>
      </c>
      <c r="AN45" s="6">
        <f>VLOOKUP($AL45,$V43:$AD46,8,FALSE)</f>
        <v>1</v>
      </c>
      <c r="AO45" s="6" t="str">
        <f>IF(AND($AM43=$AM45,$AN45&gt;$AN43),$AL43,$AL45)</f>
        <v> Croatie </v>
      </c>
      <c r="AP45" s="6">
        <f>VLOOKUP($AO45,$V43:$AD46,9,FALSE)</f>
        <v>1</v>
      </c>
      <c r="AQ45" s="6">
        <f>VLOOKUP($AO45,$V43:$AD46,8,FALSE)</f>
        <v>1</v>
      </c>
      <c r="AR45" s="6" t="str">
        <f>IF(AND($AP44=$AP45,$AQ45&gt;$AQ44),$AO44,$AO45)</f>
        <v> Croatie </v>
      </c>
      <c r="AS45" s="6">
        <f>VLOOKUP($AR45,$V43:$AD46,9,FALSE)</f>
        <v>1</v>
      </c>
      <c r="AT45" s="6">
        <f>VLOOKUP($AR45,$V43:$AD46,8,FALSE)</f>
        <v>1</v>
      </c>
      <c r="AU45" s="6">
        <f>VLOOKUP($AR45,$V43:$AD46,6,FALSE)</f>
        <v>1</v>
      </c>
      <c r="AV45" s="6" t="str">
        <f>IF(AND($AS45=$AS46,$AT45=$AT46,$AU46&gt;$AU45),$AR46,$AR45)</f>
        <v> Japon </v>
      </c>
      <c r="AW45" s="6">
        <f>VLOOKUP($AV45,$V43:$AD46,9,FALSE)</f>
        <v>1</v>
      </c>
      <c r="AX45" s="6">
        <f>VLOOKUP($AV45,$V43:$AD46,8,FALSE)</f>
        <v>1</v>
      </c>
      <c r="AY45" s="6">
        <f>VLOOKUP($AV45,$V43:$AD46,6,FALSE)</f>
        <v>2</v>
      </c>
      <c r="AZ45" s="6" t="str">
        <f>IF(AND($AW43=$AW45,$AX43=$AX45,$AY45&gt;$AY43),$AV43,$AV45)</f>
        <v> Japon </v>
      </c>
      <c r="BA45" s="6">
        <f>VLOOKUP($AZ45,$V43:$AD46,9,FALSE)</f>
        <v>1</v>
      </c>
      <c r="BB45" s="6">
        <f>VLOOKUP($AZ45,$V43:$AD46,8,FALSE)</f>
        <v>1</v>
      </c>
      <c r="BC45" s="6">
        <f>VLOOKUP($AZ45,$V43:$AD46,6,FALSE)</f>
        <v>2</v>
      </c>
      <c r="BD45" s="6" t="str">
        <f>IF(AND($BA44=$BA45,$BB44=$BB45,$BC45&gt;$BC44),$AZ44,$AZ45)</f>
        <v> Japon </v>
      </c>
      <c r="BE45" s="6">
        <f>VLOOKUP($BD45,$V43:$AD46,9,FALSE)</f>
        <v>1</v>
      </c>
      <c r="BF45" s="6">
        <f>VLOOKUP($BD45,$V43:$AD46,8,FALSE)</f>
        <v>1</v>
      </c>
      <c r="BG45" s="6">
        <f>VLOOKUP($BD45,$V43:$AD46,6,FALSE)</f>
        <v>2</v>
      </c>
      <c r="BK45" s="6" t="str">
        <f>BD45</f>
        <v> Japon </v>
      </c>
      <c r="BL45" s="6">
        <f>VLOOKUP($BK45,$V43:$AD46,2,FALSE)</f>
        <v>2</v>
      </c>
      <c r="BM45" s="6">
        <f>VLOOKUP($BK45,$V43:$AD46,3,FALSE)</f>
        <v>0</v>
      </c>
      <c r="BN45" s="6">
        <f>VLOOKUP($BK45,$V43:$AD46,4,FALSE)</f>
        <v>1</v>
      </c>
      <c r="BO45" s="6">
        <f>VLOOKUP($BK45,$V43:$AD46,5,FALSE)</f>
        <v>1</v>
      </c>
      <c r="BP45" s="6">
        <f>VLOOKUP($BK45,$V43:$AD46,6,FALSE)</f>
        <v>2</v>
      </c>
      <c r="BQ45" s="6">
        <f>VLOOKUP($BK45,$V43:$AD46,7,FALSE)</f>
        <v>1</v>
      </c>
      <c r="BR45" s="6">
        <f>VLOOKUP($BK45,$V43:$AD46,8,FALSE)</f>
        <v>1</v>
      </c>
      <c r="BS45" s="6">
        <f>VLOOKUP($BK45,$V43:$AD46,9,FALSE)</f>
        <v>1</v>
      </c>
      <c r="BX45" s="47">
        <v>38890.791666666664</v>
      </c>
      <c r="BY45" s="22"/>
      <c r="CE45" s="24"/>
    </row>
    <row r="46" spans="1:83" ht="15.75" thickBot="1">
      <c r="A46" s="2">
        <f>BX46+(VLOOKUP('Group Points'!$E$2,'Group Points'!$D$4:$E$27,2)/24)</f>
        <v>38881.75</v>
      </c>
      <c r="B46" s="3">
        <f>BX46+(VLOOKUP('Group Points'!$E$2,'Group Points'!$D$4:$E$27,2)/24)</f>
        <v>38881.75</v>
      </c>
      <c r="C46" s="55" t="str">
        <f>$V$50</f>
        <v> France </v>
      </c>
      <c r="D46" s="49">
        <v>0</v>
      </c>
      <c r="E46" s="50">
        <v>0</v>
      </c>
      <c r="F46" s="26" t="str">
        <f>$V$51</f>
        <v> Suisse </v>
      </c>
      <c r="G46" s="20" t="s">
        <v>76</v>
      </c>
      <c r="H46" s="57" t="s">
        <v>38</v>
      </c>
      <c r="I46" s="6" t="str">
        <f t="shared" si="6"/>
        <v>Draw</v>
      </c>
      <c r="J46" s="6" t="str">
        <f t="shared" si="7"/>
        <v>Draw</v>
      </c>
      <c r="L46" s="59" t="s">
        <v>86</v>
      </c>
      <c r="M46" s="60"/>
      <c r="N46" s="62"/>
      <c r="O46" s="60"/>
      <c r="P46" s="60"/>
      <c r="Q46" s="61"/>
      <c r="R46" s="61"/>
      <c r="S46" s="61"/>
      <c r="T46" s="63"/>
      <c r="V46" s="6" t="s">
        <v>115</v>
      </c>
      <c r="W46" s="6">
        <f>COUNT(F4_Played)</f>
        <v>2</v>
      </c>
      <c r="X46" s="6">
        <f>COUNTIF(Groupstage_Winners,V46)</f>
        <v>0</v>
      </c>
      <c r="Y46" s="6">
        <f>COUNTIF(Groupstage_Losers,V46)</f>
        <v>1</v>
      </c>
      <c r="Z46" s="6">
        <f>W46-(X46+Y46)</f>
        <v>1</v>
      </c>
      <c r="AA46" s="6">
        <f>SUM(F4_Played)</f>
        <v>2</v>
      </c>
      <c r="AB46" s="6">
        <f>SUM(F4_Against)</f>
        <v>1</v>
      </c>
      <c r="AC46" s="6">
        <f>AA46-AB46</f>
        <v>1</v>
      </c>
      <c r="AD46" s="6">
        <f>X46*Winpoints+Z46*Drawpoints</f>
        <v>1</v>
      </c>
      <c r="AE46" s="6" t="str">
        <f>IF($AD46&lt;=$AD45,$V46,$V45)</f>
        <v> Japon </v>
      </c>
      <c r="AF46" s="6">
        <f>VLOOKUP($AE46,$V43:$AD46,9,FALSE)</f>
        <v>1</v>
      </c>
      <c r="AG46" s="6" t="str">
        <f>IF(AF46&lt;=AF44,AE46,AE44)</f>
        <v> Japon </v>
      </c>
      <c r="AH46" s="6">
        <f>VLOOKUP($AG46,$V43:$AD46,9,FALSE)</f>
        <v>1</v>
      </c>
      <c r="AI46" s="6" t="str">
        <f>IF($AH46&lt;=$AH43,$AG46,$AG43)</f>
        <v> Japon </v>
      </c>
      <c r="AJ46" s="6">
        <f>VLOOKUP($AI46,$V43:$AD46,9,FALSE)</f>
        <v>1</v>
      </c>
      <c r="AK46" s="6">
        <f>VLOOKUP($AI46,$V43:$AD46,8,FALSE)</f>
        <v>1</v>
      </c>
      <c r="AL46" s="6" t="str">
        <f>IF(AND($AJ45=$AJ46,$AK46&gt;$AK45),$AI45,$AI46)</f>
        <v> Japon </v>
      </c>
      <c r="AM46" s="6">
        <f>VLOOKUP($AL46,$V43:$AD46,9,FALSE)</f>
        <v>1</v>
      </c>
      <c r="AN46" s="6">
        <f>VLOOKUP($AL46,$V43:$AD46,8,FALSE)</f>
        <v>1</v>
      </c>
      <c r="AO46" s="6" t="str">
        <f>IF(AND($AM44=$AM46,$AN46&gt;$AN44),$AL44,$AL46)</f>
        <v> Japon </v>
      </c>
      <c r="AP46" s="6">
        <f>VLOOKUP($AO46,$V43:$AD46,9,FALSE)</f>
        <v>1</v>
      </c>
      <c r="AQ46" s="6">
        <f>VLOOKUP($AO46,$V43:$AD46,8,FALSE)</f>
        <v>1</v>
      </c>
      <c r="AR46" s="6" t="str">
        <f>IF(AND($AP43=$AP46,$AQ46&gt;$AQ43),$AO43,$AO46)</f>
        <v> Japon </v>
      </c>
      <c r="AS46" s="6">
        <f>VLOOKUP($AR46,$V43:$AD46,9,FALSE)</f>
        <v>1</v>
      </c>
      <c r="AT46" s="6">
        <f>VLOOKUP($AR46,$V43:$AD46,8,FALSE)</f>
        <v>1</v>
      </c>
      <c r="AU46" s="6">
        <f>VLOOKUP($AR46,$V43:$AD46,6,FALSE)</f>
        <v>2</v>
      </c>
      <c r="AV46" s="6" t="str">
        <f>IF(AND($AS45=$AS46,$AT45=$AT46,$AU46&gt;$AU45),$AR45,$AR46)</f>
        <v> Croatie </v>
      </c>
      <c r="AW46" s="6">
        <f>VLOOKUP($AV46,$V43:$AD46,9,FALSE)</f>
        <v>1</v>
      </c>
      <c r="AX46" s="6">
        <f>VLOOKUP($AV46,$V43:$AD46,8,FALSE)</f>
        <v>1</v>
      </c>
      <c r="AY46" s="6">
        <f>VLOOKUP($AV46,$V43:$AD46,6,FALSE)</f>
        <v>1</v>
      </c>
      <c r="AZ46" s="6" t="str">
        <f>IF(AND($AW44=$AW46,$AX44=$AX46,$AY46&gt;$AY44),$AV44,$AV46)</f>
        <v> Croatie </v>
      </c>
      <c r="BA46" s="6">
        <f>VLOOKUP($AZ46,$V43:$AD46,9,FALSE)</f>
        <v>1</v>
      </c>
      <c r="BB46" s="6">
        <f>VLOOKUP($AZ46,$V43:$AD46,8,FALSE)</f>
        <v>1</v>
      </c>
      <c r="BC46" s="6">
        <f>VLOOKUP($AZ46,$V43:$AD46,6,FALSE)</f>
        <v>1</v>
      </c>
      <c r="BD46" s="6" t="str">
        <f>IF(AND($BA43=$BA46,$BB43=$BB46,$BC46&gt;$BC43),$AZ43,$AZ46)</f>
        <v> Croatie </v>
      </c>
      <c r="BE46" s="6">
        <f>VLOOKUP($BD46,$V43:$AD46,9,FALSE)</f>
        <v>1</v>
      </c>
      <c r="BF46" s="6">
        <f>VLOOKUP($BD46,$V43:$AD46,8,FALSE)</f>
        <v>1</v>
      </c>
      <c r="BG46" s="6">
        <f>VLOOKUP($BD46,$V43:$AD46,6,FALSE)</f>
        <v>1</v>
      </c>
      <c r="BK46" s="6" t="str">
        <f>BD46</f>
        <v> Croatie </v>
      </c>
      <c r="BL46" s="6">
        <f>VLOOKUP($BK46,$V43:$AD46,2,FALSE)</f>
        <v>2</v>
      </c>
      <c r="BM46" s="6">
        <f>VLOOKUP($BK46,$V43:$AD46,3,FALSE)</f>
        <v>0</v>
      </c>
      <c r="BN46" s="6">
        <f>VLOOKUP($BK46,$V43:$AD46,4,FALSE)</f>
        <v>1</v>
      </c>
      <c r="BO46" s="6">
        <f>VLOOKUP($BK46,$V43:$AD46,5,FALSE)</f>
        <v>1</v>
      </c>
      <c r="BP46" s="6">
        <f>VLOOKUP($BK46,$V43:$AD46,6,FALSE)</f>
        <v>1</v>
      </c>
      <c r="BQ46" s="6">
        <f>VLOOKUP($BK46,$V43:$AD46,7,FALSE)</f>
        <v>0</v>
      </c>
      <c r="BR46" s="6">
        <f>VLOOKUP($BK46,$V43:$AD46,8,FALSE)</f>
        <v>1</v>
      </c>
      <c r="BS46" s="6">
        <f>VLOOKUP($BK46,$V43:$AD46,9,FALSE)</f>
        <v>1</v>
      </c>
      <c r="BX46" s="47">
        <v>38881.666666666664</v>
      </c>
      <c r="BY46" s="22"/>
      <c r="CE46" s="24"/>
    </row>
    <row r="47" spans="1:83" ht="13.5" thickBot="1">
      <c r="A47" s="2">
        <f>BX47+(VLOOKUP('Group Points'!$E$2,'Group Points'!$D$4:$E$27,2)/24)</f>
        <v>38881.875</v>
      </c>
      <c r="B47" s="3">
        <f>BX47+(VLOOKUP('Group Points'!$E$2,'Group Points'!$D$4:$E$27,2)/24)</f>
        <v>38881.875</v>
      </c>
      <c r="C47" s="4" t="str">
        <f>$V$52</f>
        <v> Corée du Sud </v>
      </c>
      <c r="D47" s="49">
        <v>2</v>
      </c>
      <c r="E47" s="50">
        <v>1</v>
      </c>
      <c r="F47" s="26" t="str">
        <f>$V$53</f>
        <v> Togo </v>
      </c>
      <c r="G47" s="20" t="s">
        <v>71</v>
      </c>
      <c r="H47" s="57" t="s">
        <v>38</v>
      </c>
      <c r="I47" s="6" t="str">
        <f t="shared" si="6"/>
        <v> Corée du Sud </v>
      </c>
      <c r="J47" s="6" t="str">
        <f t="shared" si="7"/>
        <v> Togo </v>
      </c>
      <c r="L47" s="39"/>
      <c r="M47" s="42" t="s">
        <v>29</v>
      </c>
      <c r="N47" s="42" t="s">
        <v>10</v>
      </c>
      <c r="O47" s="42" t="s">
        <v>11</v>
      </c>
      <c r="P47" s="42" t="s">
        <v>1</v>
      </c>
      <c r="Q47" s="14" t="s">
        <v>7</v>
      </c>
      <c r="R47" s="14" t="s">
        <v>2</v>
      </c>
      <c r="S47" s="14" t="s">
        <v>8</v>
      </c>
      <c r="T47" s="15" t="s">
        <v>30</v>
      </c>
      <c r="BX47" s="47">
        <v>38881.791666666664</v>
      </c>
      <c r="BY47" s="22"/>
      <c r="CE47" s="24"/>
    </row>
    <row r="48" spans="1:83" ht="13.5" thickBot="1">
      <c r="A48" s="2">
        <f>BX48+(VLOOKUP('Group Points'!$E$2,'Group Points'!$D$4:$E$27,2)/24)</f>
        <v>38886.875</v>
      </c>
      <c r="B48" s="3">
        <f>BX48+(VLOOKUP('Group Points'!$E$2,'Group Points'!$D$4:$E$27,2)/24)</f>
        <v>38886.875</v>
      </c>
      <c r="C48" s="55" t="str">
        <f>$V$50</f>
        <v> France </v>
      </c>
      <c r="D48" s="49">
        <v>1</v>
      </c>
      <c r="E48" s="50">
        <v>1</v>
      </c>
      <c r="F48" s="26" t="str">
        <f>$V$52</f>
        <v> Corée du Sud </v>
      </c>
      <c r="G48" s="20" t="s">
        <v>75</v>
      </c>
      <c r="H48" s="57" t="s">
        <v>38</v>
      </c>
      <c r="I48" s="6" t="str">
        <f t="shared" si="6"/>
        <v>Draw</v>
      </c>
      <c r="J48" s="6" t="str">
        <f t="shared" si="7"/>
        <v>Draw</v>
      </c>
      <c r="L48" s="40" t="str">
        <f aca="true" t="shared" si="10" ref="L48:T51">BK50</f>
        <v> Corée du Sud </v>
      </c>
      <c r="M48" s="21">
        <f t="shared" si="10"/>
        <v>2</v>
      </c>
      <c r="N48" s="21">
        <f t="shared" si="10"/>
        <v>1</v>
      </c>
      <c r="O48" s="21">
        <f t="shared" si="10"/>
        <v>0</v>
      </c>
      <c r="P48" s="21">
        <f t="shared" si="10"/>
        <v>1</v>
      </c>
      <c r="Q48" s="18">
        <f t="shared" si="10"/>
        <v>1</v>
      </c>
      <c r="R48" s="18">
        <f t="shared" si="10"/>
        <v>1</v>
      </c>
      <c r="S48" s="18">
        <f t="shared" si="10"/>
        <v>0</v>
      </c>
      <c r="T48" s="53">
        <f t="shared" si="10"/>
        <v>4</v>
      </c>
      <c r="V48" s="6" t="s">
        <v>35</v>
      </c>
      <c r="BX48" s="47">
        <v>38886.791666666664</v>
      </c>
      <c r="BY48" s="22"/>
      <c r="CE48" s="24"/>
    </row>
    <row r="49" spans="1:83" ht="13.5" thickBot="1">
      <c r="A49" s="2">
        <f>BX49+(VLOOKUP('Group Points'!$E$2,'Group Points'!$D$4:$E$27,2)/24)</f>
        <v>38887.625</v>
      </c>
      <c r="B49" s="3">
        <f>BX49+(VLOOKUP('Group Points'!$E$2,'Group Points'!$D$4:$E$27,2)/24)</f>
        <v>38887.625</v>
      </c>
      <c r="C49" s="4" t="str">
        <f>$V$53</f>
        <v> Togo </v>
      </c>
      <c r="D49" s="49"/>
      <c r="E49" s="50"/>
      <c r="F49" s="26" t="str">
        <f>$V$51</f>
        <v> Suisse </v>
      </c>
      <c r="G49" s="20" t="s">
        <v>67</v>
      </c>
      <c r="H49" s="57" t="s">
        <v>38</v>
      </c>
      <c r="I49" s="6">
        <f t="shared" si="6"/>
      </c>
      <c r="J49" s="6">
        <f t="shared" si="7"/>
      </c>
      <c r="L49" s="40" t="str">
        <f t="shared" si="10"/>
        <v> France </v>
      </c>
      <c r="M49" s="21">
        <f t="shared" si="10"/>
        <v>2</v>
      </c>
      <c r="N49" s="21">
        <f t="shared" si="10"/>
        <v>0</v>
      </c>
      <c r="O49" s="21">
        <f t="shared" si="10"/>
        <v>0</v>
      </c>
      <c r="P49" s="21">
        <f t="shared" si="10"/>
        <v>2</v>
      </c>
      <c r="Q49" s="18">
        <f t="shared" si="10"/>
        <v>3</v>
      </c>
      <c r="R49" s="18">
        <f t="shared" si="10"/>
        <v>2</v>
      </c>
      <c r="S49" s="18">
        <f t="shared" si="10"/>
        <v>1</v>
      </c>
      <c r="T49" s="53">
        <f t="shared" si="10"/>
        <v>2</v>
      </c>
      <c r="W49" s="6" t="s">
        <v>6</v>
      </c>
      <c r="X49" s="6" t="s">
        <v>10</v>
      </c>
      <c r="Y49" s="6" t="s">
        <v>11</v>
      </c>
      <c r="Z49" s="6" t="s">
        <v>1</v>
      </c>
      <c r="AA49" s="6" t="s">
        <v>7</v>
      </c>
      <c r="AB49" s="6" t="s">
        <v>2</v>
      </c>
      <c r="AC49" s="6" t="s">
        <v>8</v>
      </c>
      <c r="AD49" s="6" t="s">
        <v>9</v>
      </c>
      <c r="BX49" s="47">
        <v>38887.541666666664</v>
      </c>
      <c r="BY49" s="22"/>
      <c r="CE49" s="24"/>
    </row>
    <row r="50" spans="1:83" ht="13.5" thickBot="1">
      <c r="A50" s="2">
        <f>BX50+(VLOOKUP('Group Points'!$E$2,'Group Points'!$D$4:$E$27,2)/24)</f>
        <v>38891.66666666667</v>
      </c>
      <c r="B50" s="3">
        <f>BX50+(VLOOKUP('Group Points'!$E$2,'Group Points'!$D$4:$E$27,2)/24)</f>
        <v>38891.66666666667</v>
      </c>
      <c r="C50" s="4" t="str">
        <f>$V$53</f>
        <v> Togo </v>
      </c>
      <c r="D50" s="49"/>
      <c r="E50" s="50"/>
      <c r="F50" s="56" t="str">
        <f>$V$50</f>
        <v> France </v>
      </c>
      <c r="G50" s="20" t="s">
        <v>73</v>
      </c>
      <c r="H50" s="57" t="s">
        <v>38</v>
      </c>
      <c r="I50" s="6">
        <f t="shared" si="6"/>
      </c>
      <c r="J50" s="6">
        <f t="shared" si="7"/>
      </c>
      <c r="L50" s="40" t="str">
        <f t="shared" si="10"/>
        <v> Suisse </v>
      </c>
      <c r="M50" s="21">
        <f t="shared" si="10"/>
        <v>1</v>
      </c>
      <c r="N50" s="21">
        <f t="shared" si="10"/>
        <v>0</v>
      </c>
      <c r="O50" s="21">
        <f t="shared" si="10"/>
        <v>0</v>
      </c>
      <c r="P50" s="21">
        <f t="shared" si="10"/>
        <v>1</v>
      </c>
      <c r="Q50" s="18">
        <f t="shared" si="10"/>
        <v>1</v>
      </c>
      <c r="R50" s="18">
        <f t="shared" si="10"/>
        <v>2</v>
      </c>
      <c r="S50" s="18">
        <f t="shared" si="10"/>
        <v>-1</v>
      </c>
      <c r="T50" s="53">
        <f t="shared" si="10"/>
        <v>1</v>
      </c>
      <c r="V50" s="6" t="s">
        <v>116</v>
      </c>
      <c r="W50" s="6">
        <f>COUNT(G1_Played)</f>
        <v>2</v>
      </c>
      <c r="X50" s="6">
        <f>COUNTIF(Groupstage_Winners,V50)</f>
        <v>0</v>
      </c>
      <c r="Y50" s="6">
        <f>COUNTIF(Groupstage_Losers,V50)</f>
        <v>0</v>
      </c>
      <c r="Z50" s="6">
        <f>W50-(X50+Y50)</f>
        <v>2</v>
      </c>
      <c r="AA50" s="6">
        <f>SUM(G1_Played)</f>
        <v>3</v>
      </c>
      <c r="AB50" s="6">
        <f>SUM(G1_Against)</f>
        <v>2</v>
      </c>
      <c r="AC50" s="6">
        <f>AA50-AB50</f>
        <v>1</v>
      </c>
      <c r="AD50" s="6">
        <f>X50*Winpoints+Z50*Drawpoints</f>
        <v>2</v>
      </c>
      <c r="AE50" s="6" t="str">
        <f>IF($AD50&gt;=$AD51,$V50,$V51)</f>
        <v> France </v>
      </c>
      <c r="AF50" s="6">
        <f>VLOOKUP($AE50,$V50:$AD53,9,FALSE)</f>
        <v>2</v>
      </c>
      <c r="AG50" s="6" t="str">
        <f>IF($AF50&gt;=$AF52,$AE50,$AE52)</f>
        <v> Corée du Sud </v>
      </c>
      <c r="AH50" s="6">
        <f>VLOOKUP($AG50,$V50:$AD53,9,FALSE)</f>
        <v>4</v>
      </c>
      <c r="AI50" s="6" t="str">
        <f>IF($AH50&gt;=$AH53,$AG50,$AG53)</f>
        <v> Corée du Sud </v>
      </c>
      <c r="AJ50" s="6">
        <f>VLOOKUP($AI50,$V50:$AD53,9,FALSE)</f>
        <v>4</v>
      </c>
      <c r="AK50" s="6">
        <f>VLOOKUP($AI50,$V50:$AD53,8,FALSE)</f>
        <v>0</v>
      </c>
      <c r="AL50" s="6" t="str">
        <f>IF(AND($AJ50=$AJ51,$AK51&gt;$AK50),$AI51,$AI50)</f>
        <v> Corée du Sud </v>
      </c>
      <c r="AM50" s="6">
        <f>VLOOKUP($AL50,$V50:$AD53,9,FALSE)</f>
        <v>4</v>
      </c>
      <c r="AN50" s="6">
        <f>VLOOKUP($AL50,$V50:$AD53,8,FALSE)</f>
        <v>0</v>
      </c>
      <c r="AO50" s="6" t="str">
        <f>IF(AND($AM50=$AM52,$AN52&gt;$AN50),$AL52,$AL50)</f>
        <v> Corée du Sud </v>
      </c>
      <c r="AP50" s="6">
        <f>VLOOKUP($AO50,$V50:$AD53,9,FALSE)</f>
        <v>4</v>
      </c>
      <c r="AQ50" s="6">
        <f>VLOOKUP($AO50,$V50:$AD53,8,FALSE)</f>
        <v>0</v>
      </c>
      <c r="AR50" s="6" t="str">
        <f>IF(AND($AP50=$AP53,$AQ53&gt;$AQ50),$AO53,$AO50)</f>
        <v> Corée du Sud </v>
      </c>
      <c r="AS50" s="6">
        <f>VLOOKUP($AR50,$V50:$AD53,9,FALSE)</f>
        <v>4</v>
      </c>
      <c r="AT50" s="6">
        <f>VLOOKUP($AR50,$V50:$AD53,8,FALSE)</f>
        <v>0</v>
      </c>
      <c r="AU50" s="6">
        <f>VLOOKUP($AR50,$V50:$AD53,6,FALSE)</f>
        <v>1</v>
      </c>
      <c r="AV50" s="6" t="str">
        <f>IF(AND($AS50=$AS51,$AT50=$AT51,$AU51&gt;$AU50),$AR51,$AR50)</f>
        <v> Corée du Sud </v>
      </c>
      <c r="AW50" s="6">
        <f>VLOOKUP($AV50,$V50:$AD53,9,FALSE)</f>
        <v>4</v>
      </c>
      <c r="AX50" s="6">
        <f>VLOOKUP($AV50,$V50:$AD53,8,FALSE)</f>
        <v>0</v>
      </c>
      <c r="AY50" s="6">
        <f>VLOOKUP($AV50,$V50:$AD53,6,FALSE)</f>
        <v>1</v>
      </c>
      <c r="AZ50" s="6" t="str">
        <f>IF(AND($AW50=$AW52,$AX50=$AX52,$AY52&gt;$AY50),$AV52,$AV50)</f>
        <v> Corée du Sud </v>
      </c>
      <c r="BA50" s="6">
        <f>VLOOKUP($AZ50,$V50:$AD53,9,FALSE)</f>
        <v>4</v>
      </c>
      <c r="BB50" s="6">
        <f>VLOOKUP($AZ50,$V50:$AD53,8,FALSE)</f>
        <v>0</v>
      </c>
      <c r="BC50" s="6">
        <f>VLOOKUP($AZ50,$V50:$AD53,6,FALSE)</f>
        <v>1</v>
      </c>
      <c r="BD50" s="6" t="str">
        <f>IF(AND($BA50=$BA53,$BB50=$BB53,$BC53&gt;$BC50),$AZ53,$AZ50)</f>
        <v> Corée du Sud </v>
      </c>
      <c r="BE50" s="6">
        <f>VLOOKUP($BD50,$V50:$AD53,9,FALSE)</f>
        <v>4</v>
      </c>
      <c r="BF50" s="6">
        <f>VLOOKUP($BD50,$V50:$AD53,8,FALSE)</f>
        <v>0</v>
      </c>
      <c r="BG50" s="6">
        <f>VLOOKUP($BD50,$V50:$AD53,6,FALSE)</f>
        <v>1</v>
      </c>
      <c r="BK50" s="6" t="str">
        <f>BD50</f>
        <v> Corée du Sud </v>
      </c>
      <c r="BL50" s="6">
        <f>VLOOKUP($BK50,$V50:$AD53,2,FALSE)</f>
        <v>2</v>
      </c>
      <c r="BM50" s="6">
        <f>VLOOKUP($BK50,$V50:$AD53,3,FALSE)</f>
        <v>1</v>
      </c>
      <c r="BN50" s="6">
        <f>VLOOKUP($BK50,$V50:$AD53,4,FALSE)</f>
        <v>0</v>
      </c>
      <c r="BO50" s="6">
        <f>VLOOKUP($BK50,$V50:$AD53,5,FALSE)</f>
        <v>1</v>
      </c>
      <c r="BP50" s="6">
        <f>VLOOKUP($BK50,$V50:$AD53,6,FALSE)</f>
        <v>1</v>
      </c>
      <c r="BQ50" s="6">
        <f>VLOOKUP($BK50,$V50:$AD53,7,FALSE)</f>
        <v>1</v>
      </c>
      <c r="BR50" s="6">
        <f>VLOOKUP($BK50,$V50:$AD53,8,FALSE)</f>
        <v>0</v>
      </c>
      <c r="BS50" s="6">
        <f>VLOOKUP($BK50,$V50:$AD53,9,FALSE)</f>
        <v>4</v>
      </c>
      <c r="BX50" s="47">
        <v>38891.583333333336</v>
      </c>
      <c r="BY50" s="22"/>
      <c r="CE50" s="24"/>
    </row>
    <row r="51" spans="1:83" ht="13.5" thickBot="1">
      <c r="A51" s="2">
        <f>BX51+(VLOOKUP('Group Points'!$E$2,'Group Points'!$D$4:$E$27,2)/24)</f>
        <v>38891.66666666667</v>
      </c>
      <c r="B51" s="3">
        <f>BX51+(VLOOKUP('Group Points'!$E$2,'Group Points'!$D$4:$E$27,2)/24)</f>
        <v>38891.66666666667</v>
      </c>
      <c r="C51" s="4" t="str">
        <f>$V$51</f>
        <v> Suisse </v>
      </c>
      <c r="D51" s="49"/>
      <c r="E51" s="50"/>
      <c r="F51" s="26" t="str">
        <f>$V$52</f>
        <v> Corée du Sud </v>
      </c>
      <c r="G51" s="20" t="s">
        <v>70</v>
      </c>
      <c r="H51" s="57" t="s">
        <v>38</v>
      </c>
      <c r="I51" s="6">
        <f t="shared" si="6"/>
      </c>
      <c r="J51" s="6">
        <f t="shared" si="7"/>
      </c>
      <c r="L51" s="41" t="str">
        <f t="shared" si="10"/>
        <v> Togo </v>
      </c>
      <c r="M51" s="44">
        <f t="shared" si="10"/>
        <v>1</v>
      </c>
      <c r="N51" s="44">
        <f t="shared" si="10"/>
        <v>0</v>
      </c>
      <c r="O51" s="44">
        <f t="shared" si="10"/>
        <v>1</v>
      </c>
      <c r="P51" s="44">
        <f t="shared" si="10"/>
        <v>0</v>
      </c>
      <c r="Q51" s="25">
        <f t="shared" si="10"/>
        <v>0</v>
      </c>
      <c r="R51" s="25">
        <f t="shared" si="10"/>
        <v>0</v>
      </c>
      <c r="S51" s="25">
        <f t="shared" si="10"/>
        <v>0</v>
      </c>
      <c r="T51" s="54">
        <f t="shared" si="10"/>
        <v>0</v>
      </c>
      <c r="V51" s="6" t="s">
        <v>117</v>
      </c>
      <c r="W51" s="6">
        <f>COUNT(G2_Played)</f>
        <v>1</v>
      </c>
      <c r="X51" s="6">
        <f>COUNTIF(Groupstage_Winners,V51)</f>
        <v>0</v>
      </c>
      <c r="Y51" s="6">
        <f>COUNTIF(Groupstage_Losers,V51)</f>
        <v>0</v>
      </c>
      <c r="Z51" s="6">
        <f>W51-(X51+Y51)</f>
        <v>1</v>
      </c>
      <c r="AA51" s="6">
        <f>SUM(G2_Played)</f>
        <v>1</v>
      </c>
      <c r="AB51" s="6">
        <f>SUM(G2_Against)</f>
        <v>2</v>
      </c>
      <c r="AC51" s="6">
        <f>AA51-AB51</f>
        <v>-1</v>
      </c>
      <c r="AD51" s="6">
        <f>X51*Winpoints+Z51*Drawpoints</f>
        <v>1</v>
      </c>
      <c r="AE51" s="6" t="str">
        <f>IF($AD51&lt;=$AD50,$V51,$V50)</f>
        <v> Suisse </v>
      </c>
      <c r="AF51" s="6">
        <f>VLOOKUP($AE51,$V50:$AD53,9,FALSE)</f>
        <v>1</v>
      </c>
      <c r="AG51" s="6" t="str">
        <f>IF(AF51&gt;=AF53,AE51,AE53)</f>
        <v> Suisse </v>
      </c>
      <c r="AH51" s="6">
        <f>VLOOKUP($AG51,$V50:$AD53,9,FALSE)</f>
        <v>1</v>
      </c>
      <c r="AI51" s="6" t="str">
        <f>IF($AH51&gt;=$AH52,$AG51,$AG52)</f>
        <v> France </v>
      </c>
      <c r="AJ51" s="6">
        <f>VLOOKUP($AI51,$V50:$AD53,9,FALSE)</f>
        <v>2</v>
      </c>
      <c r="AK51" s="6">
        <f>VLOOKUP($AI51,$V50:$AD53,8,FALSE)</f>
        <v>1</v>
      </c>
      <c r="AL51" s="6" t="str">
        <f>IF(AND($AJ50=$AJ51,$AK51&gt;$AK50),$AI50,$AI51)</f>
        <v> France </v>
      </c>
      <c r="AM51" s="6">
        <f>VLOOKUP($AL51,$V50:$AD53,9,FALSE)</f>
        <v>2</v>
      </c>
      <c r="AN51" s="6">
        <f>VLOOKUP($AL51,$V50:$AD53,8,FALSE)</f>
        <v>1</v>
      </c>
      <c r="AO51" s="6" t="str">
        <f>IF(AND($AM51=$AM53,$AN53&gt;$AN51),$AL53,$AL51)</f>
        <v> France </v>
      </c>
      <c r="AP51" s="6">
        <f>VLOOKUP($AO51,$V50:$AD53,9,FALSE)</f>
        <v>2</v>
      </c>
      <c r="AQ51" s="6">
        <f>VLOOKUP($AO51,$V50:$AD53,8,FALSE)</f>
        <v>1</v>
      </c>
      <c r="AR51" s="6" t="str">
        <f>IF(AND($AP51=$AP52,$AQ52&gt;$AQ51),$AO52,$AO51)</f>
        <v> France </v>
      </c>
      <c r="AS51" s="6">
        <f>VLOOKUP($AR51,$V50:$AD53,9,FALSE)</f>
        <v>2</v>
      </c>
      <c r="AT51" s="6">
        <f>VLOOKUP($AR51,$V50:$AD53,8,FALSE)</f>
        <v>1</v>
      </c>
      <c r="AU51" s="6">
        <f>VLOOKUP($AR51,$V50:$AD53,6,FALSE)</f>
        <v>3</v>
      </c>
      <c r="AV51" s="6" t="str">
        <f>IF(AND($AS50=$AS51,$AT50=$AT51,$AU51&gt;$AU50),$AR50,$AR51)</f>
        <v> France </v>
      </c>
      <c r="AW51" s="6">
        <f>VLOOKUP($AV51,$V50:$AD53,9,FALSE)</f>
        <v>2</v>
      </c>
      <c r="AX51" s="6">
        <f>VLOOKUP($AV51,$V50:$AD53,8,FALSE)</f>
        <v>1</v>
      </c>
      <c r="AY51" s="6">
        <f>VLOOKUP($AV51,$V50:$AD53,6,FALSE)</f>
        <v>3</v>
      </c>
      <c r="AZ51" s="6" t="str">
        <f>IF(AND($AW51=$AW53,$AX51=$AX53,$AY53&gt;$AY51),$AV53,$AV51)</f>
        <v> France </v>
      </c>
      <c r="BA51" s="6">
        <f>VLOOKUP($AZ51,$V50:$AD53,9,FALSE)</f>
        <v>2</v>
      </c>
      <c r="BB51" s="6">
        <f>VLOOKUP($AZ51,$V50:$AD53,8,FALSE)</f>
        <v>1</v>
      </c>
      <c r="BC51" s="6">
        <f>VLOOKUP($AZ51,$V50:$AD53,6,FALSE)</f>
        <v>3</v>
      </c>
      <c r="BD51" s="6" t="str">
        <f>IF(AND($BA51=$BA52,$BB51=$BB52,$BC52&gt;$BC51),$AZ52,$AZ51)</f>
        <v> France </v>
      </c>
      <c r="BE51" s="6">
        <f>VLOOKUP($BD51,$V50:$AD53,9,FALSE)</f>
        <v>2</v>
      </c>
      <c r="BF51" s="6">
        <f>VLOOKUP($BD51,$V50:$AD53,8,FALSE)</f>
        <v>1</v>
      </c>
      <c r="BG51" s="6">
        <f>VLOOKUP($BD51,$V50:$AD53,6,FALSE)</f>
        <v>3</v>
      </c>
      <c r="BK51" s="6" t="str">
        <f>BD51</f>
        <v> France </v>
      </c>
      <c r="BL51" s="6">
        <f>VLOOKUP($BK51,$V50:$AD53,2,FALSE)</f>
        <v>2</v>
      </c>
      <c r="BM51" s="6">
        <f>VLOOKUP($BK51,$V50:$AD53,3,FALSE)</f>
        <v>0</v>
      </c>
      <c r="BN51" s="6">
        <f>VLOOKUP($BK51,$V50:$AD53,4,FALSE)</f>
        <v>0</v>
      </c>
      <c r="BO51" s="6">
        <f>VLOOKUP($BK51,$V50:$AD53,5,FALSE)</f>
        <v>2</v>
      </c>
      <c r="BP51" s="6">
        <f>VLOOKUP($BK51,$V50:$AD53,6,FALSE)</f>
        <v>3</v>
      </c>
      <c r="BQ51" s="6">
        <f>VLOOKUP($BK51,$V50:$AD53,7,FALSE)</f>
        <v>2</v>
      </c>
      <c r="BR51" s="6">
        <f>VLOOKUP($BK51,$V50:$AD53,8,FALSE)</f>
        <v>1</v>
      </c>
      <c r="BS51" s="6">
        <f>VLOOKUP($BK51,$V50:$AD53,9,FALSE)</f>
        <v>2</v>
      </c>
      <c r="BX51" s="47">
        <v>38891.583333333336</v>
      </c>
      <c r="BY51" s="22"/>
      <c r="CE51" s="24"/>
    </row>
    <row r="52" spans="1:83" ht="13.5" thickBot="1">
      <c r="A52" s="2">
        <f>BX52+(VLOOKUP('Group Points'!$E$2,'Group Points'!$D$4:$E$27,2)/24)</f>
        <v>38882.625</v>
      </c>
      <c r="B52" s="3">
        <f>BX52+(VLOOKUP('Group Points'!$E$2,'Group Points'!$D$4:$E$27,2)/24)</f>
        <v>38882.625</v>
      </c>
      <c r="C52" s="4" t="str">
        <f>$V$57</f>
        <v> Espagne </v>
      </c>
      <c r="D52" s="49">
        <v>4</v>
      </c>
      <c r="E52" s="50">
        <v>0</v>
      </c>
      <c r="F52" s="27" t="str">
        <f>$V$58</f>
        <v> Ukraine </v>
      </c>
      <c r="G52" s="20" t="s">
        <v>75</v>
      </c>
      <c r="H52" s="21" t="s">
        <v>39</v>
      </c>
      <c r="I52" s="6" t="str">
        <f t="shared" si="6"/>
        <v> Espagne </v>
      </c>
      <c r="J52" s="6" t="str">
        <f t="shared" si="7"/>
        <v> Ukraine </v>
      </c>
      <c r="V52" s="6" t="s">
        <v>118</v>
      </c>
      <c r="W52" s="6">
        <f>COUNT(G3_Played)</f>
        <v>2</v>
      </c>
      <c r="X52" s="6">
        <f>COUNTIF(Groupstage_Winners,V52)</f>
        <v>1</v>
      </c>
      <c r="Y52" s="6">
        <f>COUNTIF(Groupstage_Losers,V52)</f>
        <v>0</v>
      </c>
      <c r="Z52" s="6">
        <f>W52-(X52+Y52)</f>
        <v>1</v>
      </c>
      <c r="AA52" s="6">
        <f>SUM(G3_Played)</f>
        <v>1</v>
      </c>
      <c r="AB52" s="6">
        <f>SUM(G3_Against)</f>
        <v>1</v>
      </c>
      <c r="AC52" s="6">
        <f>AA52-AB52</f>
        <v>0</v>
      </c>
      <c r="AD52" s="6">
        <f>X52*Winpoints+Z52*Drawpoints</f>
        <v>4</v>
      </c>
      <c r="AE52" s="6" t="str">
        <f>IF($AD52&gt;=$AD53,$V52,$V53)</f>
        <v> Corée du Sud </v>
      </c>
      <c r="AF52" s="6">
        <f>VLOOKUP($AE52,$V50:$AD53,9,FALSE)</f>
        <v>4</v>
      </c>
      <c r="AG52" s="6" t="str">
        <f>IF($AF52&lt;=$AF50,$AE52,$AE50)</f>
        <v> France </v>
      </c>
      <c r="AH52" s="6">
        <f>VLOOKUP($AG52,$V50:$AD53,9,FALSE)</f>
        <v>2</v>
      </c>
      <c r="AI52" s="6" t="str">
        <f>IF($AH52&lt;=$AH51,$AG52,$AG51)</f>
        <v> Suisse </v>
      </c>
      <c r="AJ52" s="6">
        <f>VLOOKUP($AI52,$V50:$AD53,9,FALSE)</f>
        <v>1</v>
      </c>
      <c r="AK52" s="6">
        <f>VLOOKUP($AI52,$V50:$AD53,8,FALSE)</f>
        <v>-1</v>
      </c>
      <c r="AL52" s="6" t="str">
        <f>IF(AND($AJ52=$AJ53,$AK53&gt;$AK52),$AI53,$AI52)</f>
        <v> Suisse </v>
      </c>
      <c r="AM52" s="6">
        <f>VLOOKUP($AL52,$V50:$AD53,9,FALSE)</f>
        <v>1</v>
      </c>
      <c r="AN52" s="6">
        <f>VLOOKUP($AL52,$V50:$AD53,8,FALSE)</f>
        <v>-1</v>
      </c>
      <c r="AO52" s="6" t="str">
        <f>IF(AND($AM50=$AM52,$AN52&gt;$AN50),$AL50,$AL52)</f>
        <v> Suisse </v>
      </c>
      <c r="AP52" s="6">
        <f>VLOOKUP($AO52,$V50:$AD53,9,FALSE)</f>
        <v>1</v>
      </c>
      <c r="AQ52" s="6">
        <f>VLOOKUP($AO52,$V50:$AD53,8,FALSE)</f>
        <v>-1</v>
      </c>
      <c r="AR52" s="6" t="str">
        <f>IF(AND($AP51=$AP52,$AQ52&gt;$AQ51),$AO51,$AO52)</f>
        <v> Suisse </v>
      </c>
      <c r="AS52" s="6">
        <f>VLOOKUP($AR52,$V50:$AD53,9,FALSE)</f>
        <v>1</v>
      </c>
      <c r="AT52" s="6">
        <f>VLOOKUP($AR52,$V50:$AD53,8,FALSE)</f>
        <v>-1</v>
      </c>
      <c r="AU52" s="6">
        <f>VLOOKUP($AR52,$V50:$AD53,6,FALSE)</f>
        <v>1</v>
      </c>
      <c r="AV52" s="6" t="str">
        <f>IF(AND($AS52=$AS53,$AT52=$AT53,$AU53&gt;$AU52),$AR53,$AR52)</f>
        <v> Suisse </v>
      </c>
      <c r="AW52" s="6">
        <f>VLOOKUP($AV52,$V50:$AD53,9,FALSE)</f>
        <v>1</v>
      </c>
      <c r="AX52" s="6">
        <f>VLOOKUP($AV52,$V50:$AD53,8,FALSE)</f>
        <v>-1</v>
      </c>
      <c r="AY52" s="6">
        <f>VLOOKUP($AV52,$V50:$AD53,6,FALSE)</f>
        <v>1</v>
      </c>
      <c r="AZ52" s="6" t="str">
        <f>IF(AND($AW50=$AW52,$AX50=$AX52,$AY52&gt;$AY50),$AV50,$AV52)</f>
        <v> Suisse </v>
      </c>
      <c r="BA52" s="6">
        <f>VLOOKUP($AZ52,$V50:$AD53,9,FALSE)</f>
        <v>1</v>
      </c>
      <c r="BB52" s="6">
        <f>VLOOKUP($AZ52,$V50:$AD53,8,FALSE)</f>
        <v>-1</v>
      </c>
      <c r="BC52" s="6">
        <f>VLOOKUP($AZ52,$V50:$AD53,6,FALSE)</f>
        <v>1</v>
      </c>
      <c r="BD52" s="6" t="str">
        <f>IF(AND($BA51=$BA52,$BB51=$BB52,$BC52&gt;$BC51),$AZ51,$AZ52)</f>
        <v> Suisse </v>
      </c>
      <c r="BE52" s="6">
        <f>VLOOKUP($BD52,$V50:$AD53,9,FALSE)</f>
        <v>1</v>
      </c>
      <c r="BF52" s="6">
        <f>VLOOKUP($BD52,$V50:$AD53,8,FALSE)</f>
        <v>-1</v>
      </c>
      <c r="BG52" s="6">
        <f>VLOOKUP($BD52,$V50:$AD53,6,FALSE)</f>
        <v>1</v>
      </c>
      <c r="BK52" s="6" t="str">
        <f>BD52</f>
        <v> Suisse </v>
      </c>
      <c r="BL52" s="6">
        <f>VLOOKUP($BK52,$V50:$AD53,2,FALSE)</f>
        <v>1</v>
      </c>
      <c r="BM52" s="6">
        <f>VLOOKUP($BK52,$V50:$AD53,3,FALSE)</f>
        <v>0</v>
      </c>
      <c r="BN52" s="6">
        <f>VLOOKUP($BK52,$V50:$AD53,4,FALSE)</f>
        <v>0</v>
      </c>
      <c r="BO52" s="6">
        <f>VLOOKUP($BK52,$V50:$AD53,5,FALSE)</f>
        <v>1</v>
      </c>
      <c r="BP52" s="6">
        <f>VLOOKUP($BK52,$V50:$AD53,6,FALSE)</f>
        <v>1</v>
      </c>
      <c r="BQ52" s="6">
        <f>VLOOKUP($BK52,$V50:$AD53,7,FALSE)</f>
        <v>2</v>
      </c>
      <c r="BR52" s="6">
        <f>VLOOKUP($BK52,$V50:$AD53,8,FALSE)</f>
        <v>-1</v>
      </c>
      <c r="BS52" s="6">
        <f>VLOOKUP($BK52,$V50:$AD53,9,FALSE)</f>
        <v>1</v>
      </c>
      <c r="BX52" s="47">
        <v>38882.541666666664</v>
      </c>
      <c r="BY52" s="22"/>
      <c r="CE52" s="24"/>
    </row>
    <row r="53" spans="1:83" ht="15.75" thickBot="1">
      <c r="A53" s="2">
        <f>BX53+(VLOOKUP('Group Points'!$E$2,'Group Points'!$D$4:$E$27,2)/24)</f>
        <v>38882.75</v>
      </c>
      <c r="B53" s="3">
        <f>BX53+(VLOOKUP('Group Points'!$E$2,'Group Points'!$D$4:$E$27,2)/24)</f>
        <v>38882.75</v>
      </c>
      <c r="C53" s="4" t="str">
        <f>$V$59</f>
        <v> Tunisie </v>
      </c>
      <c r="D53" s="49">
        <v>2</v>
      </c>
      <c r="E53" s="50">
        <v>2</v>
      </c>
      <c r="F53" s="26" t="str">
        <f>$V$60</f>
        <v> Arabie Saoudite </v>
      </c>
      <c r="G53" s="20" t="s">
        <v>65</v>
      </c>
      <c r="H53" s="21" t="s">
        <v>39</v>
      </c>
      <c r="I53" s="6" t="str">
        <f t="shared" si="6"/>
        <v>Draw</v>
      </c>
      <c r="J53" s="6" t="str">
        <f t="shared" si="7"/>
        <v>Draw</v>
      </c>
      <c r="L53" s="37" t="s">
        <v>87</v>
      </c>
      <c r="M53" s="43"/>
      <c r="N53" s="43"/>
      <c r="O53" s="43"/>
      <c r="P53" s="43"/>
      <c r="Q53" s="38"/>
      <c r="R53" s="38"/>
      <c r="S53" s="38"/>
      <c r="T53" s="9"/>
      <c r="V53" s="6" t="s">
        <v>119</v>
      </c>
      <c r="W53" s="6">
        <f>COUNT(G4_Played)</f>
        <v>1</v>
      </c>
      <c r="X53" s="6">
        <f>COUNTIF(Groupstage_Winners,V53)</f>
        <v>0</v>
      </c>
      <c r="Y53" s="6">
        <f>COUNTIF(Groupstage_Losers,V53)</f>
        <v>1</v>
      </c>
      <c r="Z53" s="6">
        <f>W53-(X53+Y53)</f>
        <v>0</v>
      </c>
      <c r="AA53" s="6">
        <f>SUM(G4_Played)</f>
        <v>0</v>
      </c>
      <c r="AB53" s="6">
        <f>SUM(G4_Against)</f>
        <v>0</v>
      </c>
      <c r="AC53" s="6">
        <f>AA53-AB53</f>
        <v>0</v>
      </c>
      <c r="AD53" s="6">
        <f>X53*Winpoints+Z53*Drawpoints</f>
        <v>0</v>
      </c>
      <c r="AE53" s="6" t="str">
        <f>IF($AD53&lt;=$AD52,$V53,$V52)</f>
        <v> Togo </v>
      </c>
      <c r="AF53" s="6">
        <f>VLOOKUP($AE53,$V50:$AD53,9,FALSE)</f>
        <v>0</v>
      </c>
      <c r="AG53" s="6" t="str">
        <f>IF(AF53&lt;=AF51,AE53,AE51)</f>
        <v> Togo </v>
      </c>
      <c r="AH53" s="6">
        <f>VLOOKUP($AG53,$V50:$AD53,9,FALSE)</f>
        <v>0</v>
      </c>
      <c r="AI53" s="6" t="str">
        <f>IF($AH53&lt;=$AH50,$AG53,$AG50)</f>
        <v> Togo </v>
      </c>
      <c r="AJ53" s="6">
        <f>VLOOKUP($AI53,$V50:$AD53,9,FALSE)</f>
        <v>0</v>
      </c>
      <c r="AK53" s="6">
        <f>VLOOKUP($AI53,$V50:$AD53,8,FALSE)</f>
        <v>0</v>
      </c>
      <c r="AL53" s="6" t="str">
        <f>IF(AND($AJ52=$AJ53,$AK53&gt;$AK52),$AI52,$AI53)</f>
        <v> Togo </v>
      </c>
      <c r="AM53" s="6">
        <f>VLOOKUP($AL53,$V50:$AD53,9,FALSE)</f>
        <v>0</v>
      </c>
      <c r="AN53" s="6">
        <f>VLOOKUP($AL53,$V50:$AD53,8,FALSE)</f>
        <v>0</v>
      </c>
      <c r="AO53" s="6" t="str">
        <f>IF(AND($AM51=$AM53,$AN53&gt;$AN51),$AL51,$AL53)</f>
        <v> Togo </v>
      </c>
      <c r="AP53" s="6">
        <f>VLOOKUP($AO53,$V50:$AD53,9,FALSE)</f>
        <v>0</v>
      </c>
      <c r="AQ53" s="6">
        <f>VLOOKUP($AO53,$V50:$AD53,8,FALSE)</f>
        <v>0</v>
      </c>
      <c r="AR53" s="6" t="str">
        <f>IF(AND($AP50=$AP53,$AQ53&gt;$AQ50),$AO50,$AO53)</f>
        <v> Togo </v>
      </c>
      <c r="AS53" s="6">
        <f>VLOOKUP($AR53,$V50:$AD53,9,FALSE)</f>
        <v>0</v>
      </c>
      <c r="AT53" s="6">
        <f>VLOOKUP($AR53,$V50:$AD53,8,FALSE)</f>
        <v>0</v>
      </c>
      <c r="AU53" s="6">
        <f>VLOOKUP($AR53,$V50:$AD53,6,FALSE)</f>
        <v>0</v>
      </c>
      <c r="AV53" s="6" t="str">
        <f>IF(AND($AS52=$AS53,$AT52=$AT53,$AU53&gt;$AU52),$AR52,$AR53)</f>
        <v> Togo </v>
      </c>
      <c r="AW53" s="6">
        <f>VLOOKUP($AV53,$V50:$AD53,9,FALSE)</f>
        <v>0</v>
      </c>
      <c r="AX53" s="6">
        <f>VLOOKUP($AV53,$V50:$AD53,8,FALSE)</f>
        <v>0</v>
      </c>
      <c r="AY53" s="6">
        <f>VLOOKUP($AV53,$V50:$AD53,6,FALSE)</f>
        <v>0</v>
      </c>
      <c r="AZ53" s="6" t="str">
        <f>IF(AND($AW51=$AW53,$AX51=$AX53,$AY53&gt;$AY51),$AV51,$AV53)</f>
        <v> Togo </v>
      </c>
      <c r="BA53" s="6">
        <f>VLOOKUP($AZ53,$V50:$AD53,9,FALSE)</f>
        <v>0</v>
      </c>
      <c r="BB53" s="6">
        <f>VLOOKUP($AZ53,$V50:$AD53,8,FALSE)</f>
        <v>0</v>
      </c>
      <c r="BC53" s="6">
        <f>VLOOKUP($AZ53,$V50:$AD53,6,FALSE)</f>
        <v>0</v>
      </c>
      <c r="BD53" s="6" t="str">
        <f>IF(AND($BA50=$BA53,$BB50=$BB53,$BC53&gt;$BC50),$AZ50,$AZ53)</f>
        <v> Togo </v>
      </c>
      <c r="BE53" s="6">
        <f>VLOOKUP($BD53,$V50:$AD53,9,FALSE)</f>
        <v>0</v>
      </c>
      <c r="BF53" s="6">
        <f>VLOOKUP($BD53,$V50:$AD53,8,FALSE)</f>
        <v>0</v>
      </c>
      <c r="BG53" s="6">
        <f>VLOOKUP($BD53,$V50:$AD53,6,FALSE)</f>
        <v>0</v>
      </c>
      <c r="BK53" s="6" t="str">
        <f>BD53</f>
        <v> Togo </v>
      </c>
      <c r="BL53" s="6">
        <f>VLOOKUP($BK53,$V50:$AD53,2,FALSE)</f>
        <v>1</v>
      </c>
      <c r="BM53" s="6">
        <f>VLOOKUP($BK53,$V50:$AD53,3,FALSE)</f>
        <v>0</v>
      </c>
      <c r="BN53" s="6">
        <f>VLOOKUP($BK53,$V50:$AD53,4,FALSE)</f>
        <v>1</v>
      </c>
      <c r="BO53" s="6">
        <f>VLOOKUP($BK53,$V50:$AD53,5,FALSE)</f>
        <v>0</v>
      </c>
      <c r="BP53" s="6">
        <f>VLOOKUP($BK53,$V50:$AD53,6,FALSE)</f>
        <v>0</v>
      </c>
      <c r="BQ53" s="6">
        <f>VLOOKUP($BK53,$V50:$AD53,7,FALSE)</f>
        <v>0</v>
      </c>
      <c r="BR53" s="6">
        <f>VLOOKUP($BK53,$V50:$AD53,8,FALSE)</f>
        <v>0</v>
      </c>
      <c r="BS53" s="6">
        <f>VLOOKUP($BK53,$V50:$AD53,9,FALSE)</f>
        <v>0</v>
      </c>
      <c r="BX53" s="47">
        <v>38882.666666666664</v>
      </c>
      <c r="BY53" s="22"/>
      <c r="CE53" s="24"/>
    </row>
    <row r="54" spans="1:83" ht="13.5" thickBot="1">
      <c r="A54" s="2">
        <f>BX54+(VLOOKUP('Group Points'!$E$2,'Group Points'!$D$4:$E$27,2)/24)</f>
        <v>38887.75</v>
      </c>
      <c r="B54" s="3">
        <f>BX54+(VLOOKUP('Group Points'!$E$2,'Group Points'!$D$4:$E$27,2)/24)</f>
        <v>38887.75</v>
      </c>
      <c r="C54" s="4" t="str">
        <f>$V$57</f>
        <v> Espagne </v>
      </c>
      <c r="D54" s="49"/>
      <c r="E54" s="50"/>
      <c r="F54" s="26" t="str">
        <f>$V$59</f>
        <v> Tunisie </v>
      </c>
      <c r="G54" s="20" t="s">
        <v>76</v>
      </c>
      <c r="H54" s="21" t="s">
        <v>39</v>
      </c>
      <c r="I54" s="6">
        <f t="shared" si="6"/>
      </c>
      <c r="J54" s="6">
        <f t="shared" si="7"/>
      </c>
      <c r="L54" s="39"/>
      <c r="M54" s="42" t="s">
        <v>29</v>
      </c>
      <c r="N54" s="42" t="s">
        <v>10</v>
      </c>
      <c r="O54" s="42" t="s">
        <v>11</v>
      </c>
      <c r="P54" s="42" t="s">
        <v>1</v>
      </c>
      <c r="Q54" s="14" t="s">
        <v>7</v>
      </c>
      <c r="R54" s="14" t="s">
        <v>2</v>
      </c>
      <c r="S54" s="14" t="s">
        <v>8</v>
      </c>
      <c r="T54" s="15" t="s">
        <v>30</v>
      </c>
      <c r="BX54" s="47">
        <v>38887.666666666664</v>
      </c>
      <c r="BY54" s="22"/>
      <c r="CE54" s="24"/>
    </row>
    <row r="55" spans="1:83" ht="13.5" thickBot="1">
      <c r="A55" s="2">
        <f>BX55+(VLOOKUP('Group Points'!$E$2,'Group Points'!$D$4:$E$27,2)/24)</f>
        <v>38887.875</v>
      </c>
      <c r="B55" s="3">
        <f>BX55+(VLOOKUP('Group Points'!$E$2,'Group Points'!$D$4:$E$27,2)/24)</f>
        <v>38887.875</v>
      </c>
      <c r="C55" s="4" t="str">
        <f>$V$60</f>
        <v> Arabie Saoudite </v>
      </c>
      <c r="D55" s="49"/>
      <c r="E55" s="50"/>
      <c r="F55" s="27" t="str">
        <f>$V$58</f>
        <v> Ukraine </v>
      </c>
      <c r="G55" s="20" t="s">
        <v>68</v>
      </c>
      <c r="H55" s="21" t="s">
        <v>39</v>
      </c>
      <c r="I55" s="6">
        <f t="shared" si="6"/>
      </c>
      <c r="J55" s="6">
        <f t="shared" si="7"/>
      </c>
      <c r="L55" s="40" t="str">
        <f aca="true" t="shared" si="11" ref="L55:T58">BK57</f>
        <v> Espagne </v>
      </c>
      <c r="M55" s="21">
        <f t="shared" si="11"/>
        <v>1</v>
      </c>
      <c r="N55" s="21">
        <f t="shared" si="11"/>
        <v>1</v>
      </c>
      <c r="O55" s="21">
        <f t="shared" si="11"/>
        <v>0</v>
      </c>
      <c r="P55" s="21">
        <f t="shared" si="11"/>
        <v>0</v>
      </c>
      <c r="Q55" s="18">
        <f t="shared" si="11"/>
        <v>4</v>
      </c>
      <c r="R55" s="18">
        <f t="shared" si="11"/>
        <v>0</v>
      </c>
      <c r="S55" s="18">
        <f t="shared" si="11"/>
        <v>4</v>
      </c>
      <c r="T55" s="53">
        <f t="shared" si="11"/>
        <v>3</v>
      </c>
      <c r="V55" s="6" t="s">
        <v>36</v>
      </c>
      <c r="BX55" s="47">
        <v>38887.791666666664</v>
      </c>
      <c r="BY55" s="22"/>
      <c r="CE55" s="24"/>
    </row>
    <row r="56" spans="1:83" ht="13.5" thickBot="1">
      <c r="A56" s="2">
        <f>BX56+(VLOOKUP('Group Points'!$E$2,'Group Points'!$D$4:$E$27,2)/24)</f>
        <v>38891.875</v>
      </c>
      <c r="B56" s="3">
        <f>BX56+(VLOOKUP('Group Points'!$E$2,'Group Points'!$D$4:$E$27,2)/24)</f>
        <v>38891.875</v>
      </c>
      <c r="C56" s="4" t="str">
        <f>$V$60</f>
        <v> Arabie Saoudite </v>
      </c>
      <c r="D56" s="49"/>
      <c r="E56" s="50"/>
      <c r="F56" s="26" t="str">
        <f>$V$57</f>
        <v> Espagne </v>
      </c>
      <c r="G56" s="20" t="s">
        <v>77</v>
      </c>
      <c r="H56" s="21" t="s">
        <v>39</v>
      </c>
      <c r="I56" s="6">
        <f t="shared" si="6"/>
      </c>
      <c r="J56" s="6">
        <f t="shared" si="7"/>
      </c>
      <c r="L56" s="40" t="str">
        <f t="shared" si="11"/>
        <v> Arabie Saoudite </v>
      </c>
      <c r="M56" s="21">
        <f t="shared" si="11"/>
        <v>1</v>
      </c>
      <c r="N56" s="21">
        <f t="shared" si="11"/>
        <v>0</v>
      </c>
      <c r="O56" s="21">
        <f t="shared" si="11"/>
        <v>0</v>
      </c>
      <c r="P56" s="21">
        <f t="shared" si="11"/>
        <v>1</v>
      </c>
      <c r="Q56" s="18">
        <f t="shared" si="11"/>
        <v>2</v>
      </c>
      <c r="R56" s="18">
        <f t="shared" si="11"/>
        <v>2</v>
      </c>
      <c r="S56" s="18">
        <f t="shared" si="11"/>
        <v>0</v>
      </c>
      <c r="T56" s="53">
        <f t="shared" si="11"/>
        <v>1</v>
      </c>
      <c r="W56" s="6" t="s">
        <v>6</v>
      </c>
      <c r="X56" s="6" t="s">
        <v>10</v>
      </c>
      <c r="Y56" s="6" t="s">
        <v>11</v>
      </c>
      <c r="Z56" s="6" t="s">
        <v>1</v>
      </c>
      <c r="AA56" s="6" t="s">
        <v>7</v>
      </c>
      <c r="AB56" s="6" t="s">
        <v>2</v>
      </c>
      <c r="AC56" s="6" t="s">
        <v>8</v>
      </c>
      <c r="AD56" s="6" t="s">
        <v>9</v>
      </c>
      <c r="BX56" s="47">
        <v>38891.791666666664</v>
      </c>
      <c r="BY56" s="22"/>
      <c r="CE56" s="24"/>
    </row>
    <row r="57" spans="1:83" ht="13.5" thickBot="1">
      <c r="A57" s="2">
        <f>BX57+(VLOOKUP('Group Points'!$E$2,'Group Points'!$D$4:$E$27,2)/24)</f>
        <v>38891.875</v>
      </c>
      <c r="B57" s="3">
        <f>BX57+(VLOOKUP('Group Points'!$E$2,'Group Points'!$D$4:$E$27,2)/24)</f>
        <v>38891.875</v>
      </c>
      <c r="C57" s="5" t="str">
        <f>$V$58</f>
        <v> Ukraine </v>
      </c>
      <c r="D57" s="49"/>
      <c r="E57" s="50"/>
      <c r="F57" s="26" t="str">
        <f>$V$59</f>
        <v> Tunisie </v>
      </c>
      <c r="G57" s="20" t="s">
        <v>69</v>
      </c>
      <c r="H57" s="21" t="s">
        <v>39</v>
      </c>
      <c r="I57" s="6">
        <f t="shared" si="6"/>
      </c>
      <c r="J57" s="6">
        <f t="shared" si="7"/>
      </c>
      <c r="L57" s="40" t="str">
        <f t="shared" si="11"/>
        <v> Tunisie </v>
      </c>
      <c r="M57" s="21">
        <f t="shared" si="11"/>
        <v>1</v>
      </c>
      <c r="N57" s="21">
        <f t="shared" si="11"/>
        <v>0</v>
      </c>
      <c r="O57" s="21">
        <f t="shared" si="11"/>
        <v>0</v>
      </c>
      <c r="P57" s="21">
        <f t="shared" si="11"/>
        <v>1</v>
      </c>
      <c r="Q57" s="18">
        <f t="shared" si="11"/>
        <v>2</v>
      </c>
      <c r="R57" s="18">
        <f t="shared" si="11"/>
        <v>2</v>
      </c>
      <c r="S57" s="18">
        <f t="shared" si="11"/>
        <v>0</v>
      </c>
      <c r="T57" s="53">
        <f t="shared" si="11"/>
        <v>1</v>
      </c>
      <c r="V57" s="6" t="s">
        <v>120</v>
      </c>
      <c r="W57" s="6">
        <f>COUNT(H1_Played)</f>
        <v>1</v>
      </c>
      <c r="X57" s="6">
        <f>COUNTIF(Groupstage_Winners,V57)</f>
        <v>1</v>
      </c>
      <c r="Y57" s="6">
        <f>COUNTIF(Groupstage_Losers,V57)</f>
        <v>0</v>
      </c>
      <c r="Z57" s="6">
        <f>W57-(X57+Y57)</f>
        <v>0</v>
      </c>
      <c r="AA57" s="6">
        <f>SUM(H1_Played)</f>
        <v>4</v>
      </c>
      <c r="AB57" s="6">
        <f>SUM(H1_Against)</f>
        <v>0</v>
      </c>
      <c r="AC57" s="6">
        <f>AA57-AB57</f>
        <v>4</v>
      </c>
      <c r="AD57" s="6">
        <f>X57*Winpoints+Z57*Drawpoints</f>
        <v>3</v>
      </c>
      <c r="AE57" s="6" t="str">
        <f>IF($AD57&gt;=$AD58,$V57,$V58)</f>
        <v> Espagne </v>
      </c>
      <c r="AF57" s="6">
        <f>VLOOKUP($AE57,$V57:$AD60,9,FALSE)</f>
        <v>3</v>
      </c>
      <c r="AG57" s="6" t="str">
        <f>IF($AF57&gt;=$AF59,$AE57,$AE59)</f>
        <v> Espagne </v>
      </c>
      <c r="AH57" s="6">
        <f>VLOOKUP($AG57,$V57:$AD60,9,FALSE)</f>
        <v>3</v>
      </c>
      <c r="AI57" s="6" t="str">
        <f>IF($AH57&gt;=$AH60,$AG57,$AG60)</f>
        <v> Espagne </v>
      </c>
      <c r="AJ57" s="6">
        <f>VLOOKUP($AI57,$V57:$AD60,9,FALSE)</f>
        <v>3</v>
      </c>
      <c r="AK57" s="6">
        <f>VLOOKUP($AI57,$V57:$AD60,8,FALSE)</f>
        <v>4</v>
      </c>
      <c r="AL57" s="6" t="str">
        <f>IF(AND($AJ57=$AJ58,$AK58&gt;$AK57),$AI58,$AI57)</f>
        <v> Espagne </v>
      </c>
      <c r="AM57" s="6">
        <f>VLOOKUP($AL57,$V57:$AD60,9,FALSE)</f>
        <v>3</v>
      </c>
      <c r="AN57" s="6">
        <f>VLOOKUP($AL57,$V57:$AD60,8,FALSE)</f>
        <v>4</v>
      </c>
      <c r="AO57" s="6" t="str">
        <f>IF(AND($AM57=$AM59,$AN59&gt;$AN57),$AL59,$AL57)</f>
        <v> Espagne </v>
      </c>
      <c r="AP57" s="6">
        <f>VLOOKUP($AO57,$V57:$AD60,9,FALSE)</f>
        <v>3</v>
      </c>
      <c r="AQ57" s="6">
        <f>VLOOKUP($AO57,$V57:$AD60,8,FALSE)</f>
        <v>4</v>
      </c>
      <c r="AR57" s="6" t="str">
        <f>IF(AND($AP57=$AP60,$AQ60&gt;$AQ57),$AO60,$AO57)</f>
        <v> Espagne </v>
      </c>
      <c r="AS57" s="6">
        <f>VLOOKUP($AR57,$V57:$AD60,9,FALSE)</f>
        <v>3</v>
      </c>
      <c r="AT57" s="6">
        <f>VLOOKUP($AR57,$V57:$AD60,8,FALSE)</f>
        <v>4</v>
      </c>
      <c r="AU57" s="6">
        <f>VLOOKUP($AR57,$V57:$AD60,6,FALSE)</f>
        <v>4</v>
      </c>
      <c r="AV57" s="6" t="str">
        <f>IF(AND($AS57=$AS58,$AT57=$AT58,$AU58&gt;$AU57),$AR58,$AR57)</f>
        <v> Espagne </v>
      </c>
      <c r="AW57" s="6">
        <f>VLOOKUP($AV57,$V57:$AD60,9,FALSE)</f>
        <v>3</v>
      </c>
      <c r="AX57" s="6">
        <f>VLOOKUP($AV57,$V57:$AD60,8,FALSE)</f>
        <v>4</v>
      </c>
      <c r="AY57" s="6">
        <f>VLOOKUP($AV57,$V57:$AD60,6,FALSE)</f>
        <v>4</v>
      </c>
      <c r="AZ57" s="6" t="str">
        <f>IF(AND($AW57=$AW59,$AX57=$AX59,$AY59&gt;$AY57),$AV59,$AV57)</f>
        <v> Espagne </v>
      </c>
      <c r="BA57" s="6">
        <f>VLOOKUP($AZ57,$V57:$AD60,9,FALSE)</f>
        <v>3</v>
      </c>
      <c r="BB57" s="6">
        <f>VLOOKUP($AZ57,$V57:$AD60,8,FALSE)</f>
        <v>4</v>
      </c>
      <c r="BC57" s="6">
        <f>VLOOKUP($AZ57,$V57:$AD60,6,FALSE)</f>
        <v>4</v>
      </c>
      <c r="BD57" s="6" t="str">
        <f>IF(AND($BA57=$BA60,$BB57=$BB60,$BC60&gt;$BC57),$AZ60,$AZ57)</f>
        <v> Espagne </v>
      </c>
      <c r="BE57" s="6">
        <f>VLOOKUP($BD57,$V57:$AD60,9,FALSE)</f>
        <v>3</v>
      </c>
      <c r="BF57" s="6">
        <f>VLOOKUP($BD57,$V57:$AD60,8,FALSE)</f>
        <v>4</v>
      </c>
      <c r="BG57" s="6">
        <f>VLOOKUP($BD57,$V57:$AD60,6,FALSE)</f>
        <v>4</v>
      </c>
      <c r="BK57" s="6" t="str">
        <f>BD57</f>
        <v> Espagne </v>
      </c>
      <c r="BL57" s="6">
        <f>VLOOKUP($BK57,$V57:$AD60,2,FALSE)</f>
        <v>1</v>
      </c>
      <c r="BM57" s="6">
        <f>VLOOKUP($BK57,$V57:$AD60,3,FALSE)</f>
        <v>1</v>
      </c>
      <c r="BN57" s="6">
        <f>VLOOKUP($BK57,$V57:$AD60,4,FALSE)</f>
        <v>0</v>
      </c>
      <c r="BO57" s="6">
        <f>VLOOKUP($BK57,$V57:$AD60,5,FALSE)</f>
        <v>0</v>
      </c>
      <c r="BP57" s="6">
        <f>VLOOKUP($BK57,$V57:$AD60,6,FALSE)</f>
        <v>4</v>
      </c>
      <c r="BQ57" s="6">
        <f>VLOOKUP($BK57,$V57:$AD60,7,FALSE)</f>
        <v>0</v>
      </c>
      <c r="BR57" s="6">
        <f>VLOOKUP($BK57,$V57:$AD60,8,FALSE)</f>
        <v>4</v>
      </c>
      <c r="BS57" s="6">
        <f>VLOOKUP($BK57,$V57:$AD60,9,FALSE)</f>
        <v>3</v>
      </c>
      <c r="BX57" s="47">
        <v>38891.791666666664</v>
      </c>
      <c r="BY57" s="22"/>
      <c r="CE57" s="24"/>
    </row>
    <row r="58" spans="4:83" ht="12.75">
      <c r="D58" s="19"/>
      <c r="E58" s="20"/>
      <c r="L58" s="41" t="str">
        <f t="shared" si="11"/>
        <v> Ukraine </v>
      </c>
      <c r="M58" s="44">
        <f t="shared" si="11"/>
        <v>1</v>
      </c>
      <c r="N58" s="44">
        <f t="shared" si="11"/>
        <v>0</v>
      </c>
      <c r="O58" s="44">
        <f t="shared" si="11"/>
        <v>1</v>
      </c>
      <c r="P58" s="44">
        <f t="shared" si="11"/>
        <v>0</v>
      </c>
      <c r="Q58" s="25">
        <f t="shared" si="11"/>
        <v>0</v>
      </c>
      <c r="R58" s="25">
        <f t="shared" si="11"/>
        <v>4</v>
      </c>
      <c r="S58" s="25">
        <f t="shared" si="11"/>
        <v>-4</v>
      </c>
      <c r="T58" s="54">
        <f t="shared" si="11"/>
        <v>0</v>
      </c>
      <c r="V58" s="6" t="s">
        <v>121</v>
      </c>
      <c r="W58" s="6">
        <f>COUNT(H2_Played)</f>
        <v>1</v>
      </c>
      <c r="X58" s="6">
        <f>COUNTIF(Groupstage_Winners,V58)</f>
        <v>0</v>
      </c>
      <c r="Y58" s="6">
        <f>COUNTIF(Groupstage_Losers,V58)</f>
        <v>1</v>
      </c>
      <c r="Z58" s="6">
        <f>W58-(X58+Y58)</f>
        <v>0</v>
      </c>
      <c r="AA58" s="6">
        <f>SUM(H2_Played)</f>
        <v>0</v>
      </c>
      <c r="AB58" s="6">
        <f>SUM(H2_Against)</f>
        <v>4</v>
      </c>
      <c r="AC58" s="6">
        <f>AA58-AB58</f>
        <v>-4</v>
      </c>
      <c r="AD58" s="6">
        <f>X58*Winpoints+Z58*Drawpoints</f>
        <v>0</v>
      </c>
      <c r="AE58" s="6" t="str">
        <f>IF($AD58&lt;=$AD57,$V58,$V57)</f>
        <v> Ukraine </v>
      </c>
      <c r="AF58" s="6">
        <f>VLOOKUP($AE58,$V57:$AD60,9,FALSE)</f>
        <v>0</v>
      </c>
      <c r="AG58" s="6" t="str">
        <f>IF(AF58&gt;=AF60,AE58,AE60)</f>
        <v> Arabie Saoudite </v>
      </c>
      <c r="AH58" s="6">
        <f>VLOOKUP($AG58,$V57:$AD60,9,FALSE)</f>
        <v>1</v>
      </c>
      <c r="AI58" s="6" t="str">
        <f>IF($AH58&gt;=$AH59,$AG58,$AG59)</f>
        <v> Arabie Saoudite </v>
      </c>
      <c r="AJ58" s="6">
        <f>VLOOKUP($AI58,$V57:$AD60,9,FALSE)</f>
        <v>1</v>
      </c>
      <c r="AK58" s="6">
        <f>VLOOKUP($AI58,$V57:$AD60,8,FALSE)</f>
        <v>0</v>
      </c>
      <c r="AL58" s="6" t="str">
        <f>IF(AND($AJ57=$AJ58,$AK58&gt;$AK57),$AI57,$AI58)</f>
        <v> Arabie Saoudite </v>
      </c>
      <c r="AM58" s="6">
        <f>VLOOKUP($AL58,$V57:$AD60,9,FALSE)</f>
        <v>1</v>
      </c>
      <c r="AN58" s="6">
        <f>VLOOKUP($AL58,$V57:$AD60,8,FALSE)</f>
        <v>0</v>
      </c>
      <c r="AO58" s="6" t="str">
        <f>IF(AND($AM58=$AM60,$AN60&gt;$AN58),$AL60,$AL58)</f>
        <v> Arabie Saoudite </v>
      </c>
      <c r="AP58" s="6">
        <f>VLOOKUP($AO58,$V57:$AD60,9,FALSE)</f>
        <v>1</v>
      </c>
      <c r="AQ58" s="6">
        <f>VLOOKUP($AO58,$V57:$AD60,8,FALSE)</f>
        <v>0</v>
      </c>
      <c r="AR58" s="6" t="str">
        <f>IF(AND($AP58=$AP59,$AQ59&gt;$AQ58),$AO59,$AO58)</f>
        <v> Arabie Saoudite </v>
      </c>
      <c r="AS58" s="6">
        <f>VLOOKUP($AR58,$V57:$AD60,9,FALSE)</f>
        <v>1</v>
      </c>
      <c r="AT58" s="6">
        <f>VLOOKUP($AR58,$V57:$AD60,8,FALSE)</f>
        <v>0</v>
      </c>
      <c r="AU58" s="6">
        <f>VLOOKUP($AR58,$V57:$AD60,6,FALSE)</f>
        <v>2</v>
      </c>
      <c r="AV58" s="6" t="str">
        <f>IF(AND($AS57=$AS58,$AT57=$AT58,$AU58&gt;$AU57),$AR57,$AR58)</f>
        <v> Arabie Saoudite </v>
      </c>
      <c r="AW58" s="6">
        <f>VLOOKUP($AV58,$V57:$AD60,9,FALSE)</f>
        <v>1</v>
      </c>
      <c r="AX58" s="6">
        <f>VLOOKUP($AV58,$V57:$AD60,8,FALSE)</f>
        <v>0</v>
      </c>
      <c r="AY58" s="6">
        <f>VLOOKUP($AV58,$V57:$AD60,6,FALSE)</f>
        <v>2</v>
      </c>
      <c r="AZ58" s="6" t="str">
        <f>IF(AND($AW58=$AW60,$AX58=$AX60,$AY60&gt;$AY58),$AV60,$AV58)</f>
        <v> Arabie Saoudite </v>
      </c>
      <c r="BA58" s="6">
        <f>VLOOKUP($AZ58,$V57:$AD60,9,FALSE)</f>
        <v>1</v>
      </c>
      <c r="BB58" s="6">
        <f>VLOOKUP($AZ58,$V57:$AD60,8,FALSE)</f>
        <v>0</v>
      </c>
      <c r="BC58" s="6">
        <f>VLOOKUP($AZ58,$V57:$AD60,6,FALSE)</f>
        <v>2</v>
      </c>
      <c r="BD58" s="6" t="str">
        <f>IF(AND($BA58=$BA59,$BB58=$BB59,$BC59&gt;$BC58),$AZ59,$AZ58)</f>
        <v> Arabie Saoudite </v>
      </c>
      <c r="BE58" s="6">
        <f>VLOOKUP($BD58,$V57:$AD60,9,FALSE)</f>
        <v>1</v>
      </c>
      <c r="BF58" s="6">
        <f>VLOOKUP($BD58,$V57:$AD60,8,FALSE)</f>
        <v>0</v>
      </c>
      <c r="BG58" s="6">
        <f>VLOOKUP($BD58,$V57:$AD60,6,FALSE)</f>
        <v>2</v>
      </c>
      <c r="BK58" s="6" t="str">
        <f>BD58</f>
        <v> Arabie Saoudite </v>
      </c>
      <c r="BL58" s="6">
        <f>VLOOKUP($BK58,$V57:$AD60,2,FALSE)</f>
        <v>1</v>
      </c>
      <c r="BM58" s="6">
        <f>VLOOKUP($BK58,$V57:$AD60,3,FALSE)</f>
        <v>0</v>
      </c>
      <c r="BN58" s="6">
        <f>VLOOKUP($BK58,$V57:$AD60,4,FALSE)</f>
        <v>0</v>
      </c>
      <c r="BO58" s="6">
        <f>VLOOKUP($BK58,$V57:$AD60,5,FALSE)</f>
        <v>1</v>
      </c>
      <c r="BP58" s="6">
        <f>VLOOKUP($BK58,$V57:$AD60,6,FALSE)</f>
        <v>2</v>
      </c>
      <c r="BQ58" s="6">
        <f>VLOOKUP($BK58,$V57:$AD60,7,FALSE)</f>
        <v>2</v>
      </c>
      <c r="BR58" s="6">
        <f>VLOOKUP($BK58,$V57:$AD60,8,FALSE)</f>
        <v>0</v>
      </c>
      <c r="BS58" s="6">
        <f>VLOOKUP($BK58,$V57:$AD60,9,FALSE)</f>
        <v>1</v>
      </c>
      <c r="BY58" s="22"/>
      <c r="CE58" s="24"/>
    </row>
    <row r="59" spans="4:83" ht="12.75">
      <c r="D59" s="19"/>
      <c r="E59" s="20"/>
      <c r="V59" s="6" t="s">
        <v>122</v>
      </c>
      <c r="W59" s="6">
        <f>COUNT(H3_Played)</f>
        <v>1</v>
      </c>
      <c r="X59" s="6">
        <f>COUNTIF(Groupstage_Winners,V59)</f>
        <v>0</v>
      </c>
      <c r="Y59" s="6">
        <f>COUNTIF(Groupstage_Losers,V59)</f>
        <v>0</v>
      </c>
      <c r="Z59" s="6">
        <f>W59-(X59+Y59)</f>
        <v>1</v>
      </c>
      <c r="AA59" s="6">
        <f>SUM(H3_Played)</f>
        <v>2</v>
      </c>
      <c r="AB59" s="6">
        <f>SUM(H3_Against)</f>
        <v>2</v>
      </c>
      <c r="AC59" s="6">
        <f>AA59-AB59</f>
        <v>0</v>
      </c>
      <c r="AD59" s="6">
        <f>X59*Winpoints+Z59*Drawpoints</f>
        <v>1</v>
      </c>
      <c r="AE59" s="6" t="str">
        <f>IF($AD59&gt;=$AD60,$V59,$V60)</f>
        <v> Tunisie </v>
      </c>
      <c r="AF59" s="6">
        <f>VLOOKUP($AE59,$V57:$AD60,9,FALSE)</f>
        <v>1</v>
      </c>
      <c r="AG59" s="6" t="str">
        <f>IF($AF59&lt;=$AF57,$AE59,$AE57)</f>
        <v> Tunisie </v>
      </c>
      <c r="AH59" s="6">
        <f>VLOOKUP($AG59,$V57:$AD60,9,FALSE)</f>
        <v>1</v>
      </c>
      <c r="AI59" s="6" t="str">
        <f>IF($AH59&lt;=$AH58,$AG59,$AG58)</f>
        <v> Tunisie </v>
      </c>
      <c r="AJ59" s="6">
        <f>VLOOKUP($AI59,$V57:$AD60,9,FALSE)</f>
        <v>1</v>
      </c>
      <c r="AK59" s="6">
        <f>VLOOKUP($AI59,$V57:$AD60,8,FALSE)</f>
        <v>0</v>
      </c>
      <c r="AL59" s="6" t="str">
        <f>IF(AND($AJ59=$AJ60,$AK60&gt;$AK59),$AI60,$AI59)</f>
        <v> Tunisie </v>
      </c>
      <c r="AM59" s="6">
        <f>VLOOKUP($AL59,$V57:$AD60,9,FALSE)</f>
        <v>1</v>
      </c>
      <c r="AN59" s="6">
        <f>VLOOKUP($AL59,$V57:$AD60,8,FALSE)</f>
        <v>0</v>
      </c>
      <c r="AO59" s="6" t="str">
        <f>IF(AND($AM57=$AM59,$AN59&gt;$AN57),$AL57,$AL59)</f>
        <v> Tunisie </v>
      </c>
      <c r="AP59" s="6">
        <f>VLOOKUP($AO59,$V57:$AD60,9,FALSE)</f>
        <v>1</v>
      </c>
      <c r="AQ59" s="6">
        <f>VLOOKUP($AO59,$V57:$AD60,8,FALSE)</f>
        <v>0</v>
      </c>
      <c r="AR59" s="6" t="str">
        <f>IF(AND($AP58=$AP59,$AQ59&gt;$AQ58),$AO58,$AO59)</f>
        <v> Tunisie </v>
      </c>
      <c r="AS59" s="6">
        <f>VLOOKUP($AR59,$V57:$AD60,9,FALSE)</f>
        <v>1</v>
      </c>
      <c r="AT59" s="6">
        <f>VLOOKUP($AR59,$V57:$AD60,8,FALSE)</f>
        <v>0</v>
      </c>
      <c r="AU59" s="6">
        <f>VLOOKUP($AR59,$V57:$AD60,6,FALSE)</f>
        <v>2</v>
      </c>
      <c r="AV59" s="6" t="str">
        <f>IF(AND($AS59=$AS60,$AT59=$AT60,$AU60&gt;$AU59),$AR60,$AR59)</f>
        <v> Tunisie </v>
      </c>
      <c r="AW59" s="6">
        <f>VLOOKUP($AV59,$V57:$AD60,9,FALSE)</f>
        <v>1</v>
      </c>
      <c r="AX59" s="6">
        <f>VLOOKUP($AV59,$V57:$AD60,8,FALSE)</f>
        <v>0</v>
      </c>
      <c r="AY59" s="6">
        <f>VLOOKUP($AV59,$V57:$AD60,6,FALSE)</f>
        <v>2</v>
      </c>
      <c r="AZ59" s="6" t="str">
        <f>IF(AND($AW57=$AW59,$AX57=$AX59,$AY59&gt;$AY57),$AV57,$AV59)</f>
        <v> Tunisie </v>
      </c>
      <c r="BA59" s="6">
        <f>VLOOKUP($AZ59,$V57:$AD60,9,FALSE)</f>
        <v>1</v>
      </c>
      <c r="BB59" s="6">
        <f>VLOOKUP($AZ59,$V57:$AD60,8,FALSE)</f>
        <v>0</v>
      </c>
      <c r="BC59" s="6">
        <f>VLOOKUP($AZ59,$V57:$AD60,6,FALSE)</f>
        <v>2</v>
      </c>
      <c r="BD59" s="6" t="str">
        <f>IF(AND($BA58=$BA59,$BB58=$BB59,$BC59&gt;$BC58),$AZ58,$AZ59)</f>
        <v> Tunisie </v>
      </c>
      <c r="BE59" s="6">
        <f>VLOOKUP($BD59,$V57:$AD60,9,FALSE)</f>
        <v>1</v>
      </c>
      <c r="BF59" s="6">
        <f>VLOOKUP($BD59,$V57:$AD60,8,FALSE)</f>
        <v>0</v>
      </c>
      <c r="BG59" s="6">
        <f>VLOOKUP($BD59,$V57:$AD60,6,FALSE)</f>
        <v>2</v>
      </c>
      <c r="BK59" s="6" t="str">
        <f>BD59</f>
        <v> Tunisie </v>
      </c>
      <c r="BL59" s="6">
        <f>VLOOKUP($BK59,$V57:$AD60,2,FALSE)</f>
        <v>1</v>
      </c>
      <c r="BM59" s="6">
        <f>VLOOKUP($BK59,$V57:$AD60,3,FALSE)</f>
        <v>0</v>
      </c>
      <c r="BN59" s="6">
        <f>VLOOKUP($BK59,$V57:$AD60,4,FALSE)</f>
        <v>0</v>
      </c>
      <c r="BO59" s="6">
        <f>VLOOKUP($BK59,$V57:$AD60,5,FALSE)</f>
        <v>1</v>
      </c>
      <c r="BP59" s="6">
        <f>VLOOKUP($BK59,$V57:$AD60,6,FALSE)</f>
        <v>2</v>
      </c>
      <c r="BQ59" s="6">
        <f>VLOOKUP($BK59,$V57:$AD60,7,FALSE)</f>
        <v>2</v>
      </c>
      <c r="BR59" s="6">
        <f>VLOOKUP($BK59,$V57:$AD60,8,FALSE)</f>
        <v>0</v>
      </c>
      <c r="BS59" s="6">
        <f>VLOOKUP($BK59,$V57:$AD60,9,FALSE)</f>
        <v>1</v>
      </c>
      <c r="BY59" s="22"/>
      <c r="CE59" s="24"/>
    </row>
    <row r="60" spans="22:83" ht="12.75">
      <c r="V60" s="6" t="s">
        <v>123</v>
      </c>
      <c r="W60" s="6">
        <f>COUNT(H4_Played)</f>
        <v>1</v>
      </c>
      <c r="X60" s="6">
        <f>COUNTIF(Groupstage_Winners,V60)</f>
        <v>0</v>
      </c>
      <c r="Y60" s="6">
        <f>COUNTIF(Groupstage_Losers,V60)</f>
        <v>0</v>
      </c>
      <c r="Z60" s="6">
        <f>W60-(X60+Y60)</f>
        <v>1</v>
      </c>
      <c r="AA60" s="6">
        <f>SUM(H4_Played)</f>
        <v>2</v>
      </c>
      <c r="AB60" s="6">
        <f>SUM(H4_Against)</f>
        <v>2</v>
      </c>
      <c r="AC60" s="6">
        <f>AA60-AB60</f>
        <v>0</v>
      </c>
      <c r="AD60" s="6">
        <f>X60*Winpoints+Z60*Drawpoints</f>
        <v>1</v>
      </c>
      <c r="AE60" s="6" t="str">
        <f>IF($AD60&gt;=$AD61,$V60,$V61)</f>
        <v> Arabie Saoudite </v>
      </c>
      <c r="AF60" s="6">
        <f>VLOOKUP($AE60,$V58:$AD61,9,FALSE)</f>
        <v>1</v>
      </c>
      <c r="AG60" s="6" t="str">
        <f>IF($AF60&lt;=$AF58,$AE60,$AE58)</f>
        <v> Ukraine </v>
      </c>
      <c r="AH60" s="6">
        <f>VLOOKUP($AG60,$V58:$AD61,9,FALSE)</f>
        <v>0</v>
      </c>
      <c r="AI60" s="6" t="str">
        <f>IF($AH60&lt;=$AH59,$AG60,$AG59)</f>
        <v> Ukraine </v>
      </c>
      <c r="AJ60" s="6">
        <f>VLOOKUP($AI60,$V58:$AD61,9,FALSE)</f>
        <v>0</v>
      </c>
      <c r="AK60" s="6">
        <f>VLOOKUP($AI60,$V58:$AD61,8,FALSE)</f>
        <v>-4</v>
      </c>
      <c r="AL60" s="6" t="str">
        <f>IF(AND($AJ59=$AJ60,$AK60&gt;$AK59),$AI59,$AI60)</f>
        <v> Ukraine </v>
      </c>
      <c r="AM60" s="6">
        <f>VLOOKUP($AL60,$V58:$AD61,9,FALSE)</f>
        <v>0</v>
      </c>
      <c r="AN60" s="6">
        <f>VLOOKUP($AL60,$V58:$AD61,8,FALSE)</f>
        <v>-4</v>
      </c>
      <c r="AO60" s="6" t="str">
        <f>IF(AND($AM58=$AM60,$AN60&gt;$AN58),$AL58,$AL60)</f>
        <v> Ukraine </v>
      </c>
      <c r="AP60" s="6">
        <f>VLOOKUP($AO60,$V58:$AD61,9,FALSE)</f>
        <v>0</v>
      </c>
      <c r="AQ60" s="6">
        <f>VLOOKUP($AO60,$V58:$AD61,8,FALSE)</f>
        <v>-4</v>
      </c>
      <c r="AR60" s="6" t="str">
        <f>IF(AND($AP59=$AP60,$AQ60&gt;$AQ59),$AO59,$AO60)</f>
        <v> Ukraine </v>
      </c>
      <c r="AS60" s="6">
        <f>VLOOKUP($AR60,$V58:$AD61,9,FALSE)</f>
        <v>0</v>
      </c>
      <c r="AT60" s="6">
        <f>VLOOKUP($AR60,$V58:$AD61,8,FALSE)</f>
        <v>-4</v>
      </c>
      <c r="AU60" s="6">
        <f>VLOOKUP($AR60,$V58:$AD61,6,FALSE)</f>
        <v>0</v>
      </c>
      <c r="AV60" s="6" t="str">
        <f>IF(AND($AS60=$AS61,$AT60=$AT61,$AU61&gt;$AU60),$AR61,$AR60)</f>
        <v> Ukraine </v>
      </c>
      <c r="AW60" s="6">
        <f>VLOOKUP($AV60,$V58:$AD61,9,FALSE)</f>
        <v>0</v>
      </c>
      <c r="AX60" s="6">
        <f>VLOOKUP($AV60,$V58:$AD61,8,FALSE)</f>
        <v>-4</v>
      </c>
      <c r="AY60" s="6">
        <f>VLOOKUP($AV60,$V58:$AD61,6,FALSE)</f>
        <v>0</v>
      </c>
      <c r="AZ60" s="6" t="str">
        <f>IF(AND($AW58=$AW60,$AX58=$AX60,$AY60&gt;$AY58),$AV58,$AV60)</f>
        <v> Ukraine </v>
      </c>
      <c r="BA60" s="6">
        <f>VLOOKUP($AZ60,$V58:$AD61,9,FALSE)</f>
        <v>0</v>
      </c>
      <c r="BB60" s="6">
        <f>VLOOKUP($AZ60,$V58:$AD61,8,FALSE)</f>
        <v>-4</v>
      </c>
      <c r="BC60" s="6">
        <f>VLOOKUP($AZ60,$V58:$AD61,6,FALSE)</f>
        <v>0</v>
      </c>
      <c r="BD60" s="6" t="str">
        <f>IF(AND($BA59=$BA60,$BB59=$BB60,$BC60&gt;$BC59),$AZ59,$AZ60)</f>
        <v> Ukraine </v>
      </c>
      <c r="BE60" s="6">
        <f>VLOOKUP($BD60,$V58:$AD61,9,FALSE)</f>
        <v>0</v>
      </c>
      <c r="BF60" s="6">
        <f>VLOOKUP($BD60,$V58:$AD61,8,FALSE)</f>
        <v>-4</v>
      </c>
      <c r="BG60" s="6">
        <f>VLOOKUP($BD60,$V58:$AD61,6,FALSE)</f>
        <v>0</v>
      </c>
      <c r="BK60" s="6" t="str">
        <f>BD60</f>
        <v> Ukraine </v>
      </c>
      <c r="BL60" s="6">
        <f>VLOOKUP($BK60,$V58:$AD61,2,FALSE)</f>
        <v>1</v>
      </c>
      <c r="BM60" s="6">
        <f>VLOOKUP($BK60,$V58:$AD61,3,FALSE)</f>
        <v>0</v>
      </c>
      <c r="BN60" s="6">
        <f>VLOOKUP($BK60,$V58:$AD61,4,FALSE)</f>
        <v>1</v>
      </c>
      <c r="BO60" s="6">
        <f>VLOOKUP($BK60,$V58:$AD61,5,FALSE)</f>
        <v>0</v>
      </c>
      <c r="BP60" s="6">
        <f>VLOOKUP($BK60,$V58:$AD61,6,FALSE)</f>
        <v>0</v>
      </c>
      <c r="BQ60" s="6">
        <f>VLOOKUP($BK60,$V58:$AD61,7,FALSE)</f>
        <v>4</v>
      </c>
      <c r="BR60" s="6">
        <f>VLOOKUP($BK60,$V58:$AD61,8,FALSE)</f>
        <v>-4</v>
      </c>
      <c r="BS60" s="6">
        <f>VLOOKUP($BK60,$V58:$AD61,9,FALSE)</f>
        <v>0</v>
      </c>
      <c r="BY60" s="22"/>
      <c r="CE60" s="24"/>
    </row>
    <row r="61" spans="1:83" ht="15">
      <c r="A61" s="65" t="s">
        <v>88</v>
      </c>
      <c r="B61" s="66"/>
      <c r="C61" s="66"/>
      <c r="D61" s="66"/>
      <c r="E61" s="66"/>
      <c r="F61" s="66"/>
      <c r="G61" s="66"/>
      <c r="H61" s="67"/>
      <c r="L61" s="18"/>
      <c r="O61" s="32"/>
      <c r="P61" s="32"/>
      <c r="BY61" s="22"/>
      <c r="CE61" s="24"/>
    </row>
    <row r="62" spans="1:83" ht="15">
      <c r="A62" s="10" t="s">
        <v>31</v>
      </c>
      <c r="B62" s="11" t="s">
        <v>78</v>
      </c>
      <c r="C62" s="12"/>
      <c r="D62" s="12"/>
      <c r="E62" s="12"/>
      <c r="F62" s="12"/>
      <c r="G62" s="12" t="s">
        <v>79</v>
      </c>
      <c r="H62" s="13"/>
      <c r="L62" s="18"/>
      <c r="O62" s="32"/>
      <c r="P62" s="32"/>
      <c r="BY62" s="22"/>
      <c r="CE62" s="24"/>
    </row>
    <row r="63" spans="12:83" ht="13.5" thickBot="1">
      <c r="L63" s="18"/>
      <c r="O63" s="32"/>
      <c r="P63" s="32"/>
      <c r="BY63" s="22"/>
      <c r="CE63" s="24"/>
    </row>
    <row r="64" spans="1:83" ht="13.5" thickBot="1">
      <c r="A64" s="2">
        <f>BX64+(VLOOKUP('Group Points'!$E$2,'Group Points'!$D$4:$E$27,2)/24)</f>
        <v>38892.708333333336</v>
      </c>
      <c r="B64" s="3">
        <f>BX64+(VLOOKUP('Group Points'!$E$2,'Group Points'!$D$4:$E$27,2)/24)</f>
        <v>38892.708333333336</v>
      </c>
      <c r="C64" s="5" t="str">
        <f>IF(M6=3,L6,"Premier A ")</f>
        <v>Premier A </v>
      </c>
      <c r="D64" s="49"/>
      <c r="E64" s="50"/>
      <c r="F64" s="27" t="str">
        <f>IF(M14=3,L14," Deuxième B")</f>
        <v> Deuxième B</v>
      </c>
      <c r="G64" s="6" t="s">
        <v>65</v>
      </c>
      <c r="I64" s="6" t="str">
        <f>IF(D64&lt;&gt;"",IF(D64&gt;E64,C64,IF(E64&gt;D64,F64,"Draw")),"Game 1")</f>
        <v>Game 1</v>
      </c>
      <c r="L64" s="18"/>
      <c r="O64" s="32"/>
      <c r="P64" s="32"/>
      <c r="BX64" s="47">
        <v>38892.625</v>
      </c>
      <c r="BY64" s="22"/>
      <c r="CE64" s="24"/>
    </row>
    <row r="65" spans="1:83" ht="13.5" thickBot="1">
      <c r="A65" s="2">
        <f>BX65+(VLOOKUP('Group Points'!$E$2,'Group Points'!$D$4:$E$27,2)/24)</f>
        <v>38892.875</v>
      </c>
      <c r="B65" s="3">
        <f>BX65+(VLOOKUP('Group Points'!$E$2,'Group Points'!$D$4:$E$27,2)/24)</f>
        <v>38892.875</v>
      </c>
      <c r="C65" s="5" t="str">
        <f>IF(M20=3,L20,"Premier C ")</f>
        <v>Premier C </v>
      </c>
      <c r="D65" s="49"/>
      <c r="E65" s="50"/>
      <c r="F65" s="27" t="str">
        <f>IF(M28=3,L28," Deuxième D")</f>
        <v> Deuxième D</v>
      </c>
      <c r="G65" s="6" t="s">
        <v>75</v>
      </c>
      <c r="I65" s="6" t="str">
        <f>IF(D65&lt;&gt;"",IF(D65&gt;E65,C65,IF(E65&gt;D65,F65,"Draw")),"Game 2")</f>
        <v>Game 2</v>
      </c>
      <c r="L65" s="18"/>
      <c r="O65" s="32"/>
      <c r="P65" s="32"/>
      <c r="BX65" s="47">
        <v>38892.791666666664</v>
      </c>
      <c r="BY65" s="22"/>
      <c r="CE65" s="24"/>
    </row>
    <row r="66" spans="1:83" ht="13.5" thickBot="1">
      <c r="A66" s="2">
        <f>BX66+(VLOOKUP('Group Points'!$E$2,'Group Points'!$D$4:$E$27,2)/24)</f>
        <v>38893.708333333336</v>
      </c>
      <c r="B66" s="3">
        <f>BX66+(VLOOKUP('Group Points'!$E$2,'Group Points'!$D$4:$E$27,2)/24)</f>
        <v>38893.708333333336</v>
      </c>
      <c r="C66" s="5" t="str">
        <f>IF(M13=3,L13,"Premier B ")</f>
        <v>Premier B </v>
      </c>
      <c r="D66" s="49"/>
      <c r="E66" s="50"/>
      <c r="F66" s="27" t="str">
        <f>IF(M7=3,L7," Deuxième A")</f>
        <v> Deuxième A</v>
      </c>
      <c r="G66" s="6" t="s">
        <v>76</v>
      </c>
      <c r="I66" s="6" t="str">
        <f>IF(D66&lt;&gt;"",IF(D66&gt;E66,C66,IF(E66&gt;D66,F66,"Draw")),"Game 3")</f>
        <v>Game 3</v>
      </c>
      <c r="L66" s="18"/>
      <c r="O66" s="32"/>
      <c r="P66" s="32"/>
      <c r="BX66" s="47">
        <v>38893.625</v>
      </c>
      <c r="BY66" s="22"/>
      <c r="CE66" s="24"/>
    </row>
    <row r="67" spans="1:83" ht="13.5" thickBot="1">
      <c r="A67" s="2">
        <f>BX67+(VLOOKUP('Group Points'!$E$2,'Group Points'!$D$4:$E$27,2)/24)</f>
        <v>38893.875</v>
      </c>
      <c r="B67" s="3">
        <f>BX67+(VLOOKUP('Group Points'!$E$2,'Group Points'!$D$4:$E$27,2)/24)</f>
        <v>38893.875</v>
      </c>
      <c r="C67" s="5" t="str">
        <f>IF(M27=3,L27,"Premier D ")</f>
        <v>Premier D </v>
      </c>
      <c r="D67" s="49"/>
      <c r="E67" s="50"/>
      <c r="F67" s="27" t="str">
        <f>IF(M21=3,L21," Deuxième C")</f>
        <v> Deuxième C</v>
      </c>
      <c r="G67" s="6" t="s">
        <v>72</v>
      </c>
      <c r="I67" s="6" t="str">
        <f>IF(D67&lt;&gt;"",IF(D67&gt;E67,C67,IF(E67&gt;D67,F67,"Draw")),"Game 4")</f>
        <v>Game 4</v>
      </c>
      <c r="L67" s="18"/>
      <c r="O67" s="32"/>
      <c r="P67" s="32"/>
      <c r="BX67" s="47">
        <v>38893.791666666664</v>
      </c>
      <c r="BY67" s="22"/>
      <c r="CE67" s="24"/>
    </row>
    <row r="68" spans="1:83" ht="13.5" thickBot="1">
      <c r="A68" s="2">
        <f>BX68+(VLOOKUP('Group Points'!$E$2,'Group Points'!$D$4:$E$27,2)/24)</f>
        <v>38894.708333333336</v>
      </c>
      <c r="B68" s="3">
        <f>BX68+(VLOOKUP('Group Points'!$E$2,'Group Points'!$D$4:$E$27,2)/24)</f>
        <v>38894.708333333336</v>
      </c>
      <c r="C68" s="5" t="str">
        <f>IF(M34=3,L34,"Premier E ")</f>
        <v>Premier E </v>
      </c>
      <c r="D68" s="49"/>
      <c r="E68" s="50"/>
      <c r="F68" s="27" t="str">
        <f>IF(M42=3,L42," Deuxième F")</f>
        <v> Deuxième F</v>
      </c>
      <c r="G68" s="6" t="s">
        <v>74</v>
      </c>
      <c r="I68" s="6" t="str">
        <f>IF(D68&lt;&gt;"",IF(D68&gt;E68,C68,IF(E68&gt;D68,F68,"Draw")),"Game 5")</f>
        <v>Game 5</v>
      </c>
      <c r="L68" s="18"/>
      <c r="O68" s="32"/>
      <c r="P68" s="32"/>
      <c r="BX68" s="47">
        <v>38894.625</v>
      </c>
      <c r="BY68" s="22"/>
      <c r="CE68" s="24"/>
    </row>
    <row r="69" spans="1:83" ht="13.5" thickBot="1">
      <c r="A69" s="2">
        <f>BX69+(VLOOKUP('Group Points'!$E$2,'Group Points'!$D$4:$E$27,2)/24)</f>
        <v>38894.875</v>
      </c>
      <c r="B69" s="3">
        <f>BX69+(VLOOKUP('Group Points'!$E$2,'Group Points'!$D$4:$E$27,2)/24)</f>
        <v>38894.875</v>
      </c>
      <c r="C69" s="5" t="str">
        <f>IF(M48=3,L48,"Premier G ")</f>
        <v>Premier G </v>
      </c>
      <c r="D69" s="49"/>
      <c r="E69" s="50"/>
      <c r="F69" s="27" t="str">
        <f>IF(M56=3,L56," Deuxième H")</f>
        <v> Deuxième H</v>
      </c>
      <c r="G69" s="6" t="s">
        <v>73</v>
      </c>
      <c r="I69" s="6" t="str">
        <f>IF(D69&lt;&gt;"",IF(D69&gt;E69,C69,IF(E69&gt;D69,F69,"Draw")),"Game 6")</f>
        <v>Game 6</v>
      </c>
      <c r="L69" s="18"/>
      <c r="O69" s="32"/>
      <c r="P69" s="32"/>
      <c r="BX69" s="47">
        <v>38894.791666666664</v>
      </c>
      <c r="BY69" s="22"/>
      <c r="CE69" s="24"/>
    </row>
    <row r="70" spans="1:83" ht="13.5" thickBot="1">
      <c r="A70" s="2">
        <f>BX70+(VLOOKUP('Group Points'!$E$2,'Group Points'!$D$4:$E$27,2)/24)</f>
        <v>38895.708333333336</v>
      </c>
      <c r="B70" s="3">
        <f>BX70+(VLOOKUP('Group Points'!$E$2,'Group Points'!$D$4:$E$27,2)/24)</f>
        <v>38895.708333333336</v>
      </c>
      <c r="C70" s="5" t="str">
        <f>IF(M41=3,L41,"Premier F ")</f>
        <v>Premier F </v>
      </c>
      <c r="D70" s="49"/>
      <c r="E70" s="50"/>
      <c r="F70" s="27" t="str">
        <f>IF(M35=3,L35," Deuxième E")</f>
        <v> Deuxième E</v>
      </c>
      <c r="G70" s="6" t="s">
        <v>67</v>
      </c>
      <c r="I70" s="6" t="str">
        <f>IF(D70&lt;&gt;"",IF(D70&gt;E70,C70,IF(E70&gt;D70,F70,"Draw")),"Game 7")</f>
        <v>Game 7</v>
      </c>
      <c r="L70" s="18"/>
      <c r="O70" s="32"/>
      <c r="P70" s="32"/>
      <c r="BX70" s="47">
        <v>38895.625</v>
      </c>
      <c r="BY70" s="22"/>
      <c r="CE70" s="24"/>
    </row>
    <row r="71" spans="1:83" ht="13.5" thickBot="1">
      <c r="A71" s="2">
        <f>BX71+(VLOOKUP('Group Points'!$E$2,'Group Points'!$D$4:$E$27,2)/24)</f>
        <v>38895.875</v>
      </c>
      <c r="B71" s="3">
        <f>BX71+(VLOOKUP('Group Points'!$E$2,'Group Points'!$D$4:$E$27,2)/24)</f>
        <v>38895.875</v>
      </c>
      <c r="C71" s="5" t="str">
        <f>IF(M55=3,L55,"Premier H ")</f>
        <v>Premier H </v>
      </c>
      <c r="D71" s="49"/>
      <c r="E71" s="50"/>
      <c r="F71" s="27" t="str">
        <f>IF(M49=3,L49," Deuxième G")</f>
        <v> Deuxième G</v>
      </c>
      <c r="G71" s="6" t="s">
        <v>70</v>
      </c>
      <c r="I71" s="6" t="str">
        <f>IF(D71&lt;&gt;"",IF(D71&gt;E71,C71,IF(E71&gt;D71,F71,"Draw")),"Game 8")</f>
        <v>Game 8</v>
      </c>
      <c r="L71" s="18"/>
      <c r="O71" s="32"/>
      <c r="P71" s="32"/>
      <c r="BX71" s="47">
        <v>38895.791666666664</v>
      </c>
      <c r="BY71" s="22"/>
      <c r="CE71" s="24"/>
    </row>
    <row r="72" spans="1:83" ht="12.75">
      <c r="A72" s="29"/>
      <c r="B72" s="28"/>
      <c r="D72" s="19"/>
      <c r="E72" s="20"/>
      <c r="L72" s="18"/>
      <c r="O72" s="32"/>
      <c r="P72" s="32"/>
      <c r="BX72" s="47"/>
      <c r="BY72" s="22"/>
      <c r="CE72" s="24"/>
    </row>
    <row r="73" spans="1:83" ht="12.75">
      <c r="A73" s="29"/>
      <c r="B73" s="28"/>
      <c r="D73" s="19"/>
      <c r="E73" s="20"/>
      <c r="L73" s="18"/>
      <c r="O73" s="32"/>
      <c r="P73" s="32"/>
      <c r="BY73" s="22"/>
      <c r="CE73" s="24"/>
    </row>
    <row r="74" spans="1:83" ht="15">
      <c r="A74" s="65" t="s">
        <v>89</v>
      </c>
      <c r="B74" s="66"/>
      <c r="C74" s="66"/>
      <c r="D74" s="66"/>
      <c r="E74" s="66"/>
      <c r="F74" s="66"/>
      <c r="G74" s="66"/>
      <c r="H74" s="67"/>
      <c r="L74" s="18"/>
      <c r="O74" s="32"/>
      <c r="P74" s="32"/>
      <c r="BY74" s="22"/>
      <c r="CE74" s="24"/>
    </row>
    <row r="75" spans="1:83" ht="15">
      <c r="A75" s="10" t="s">
        <v>31</v>
      </c>
      <c r="B75" s="11" t="s">
        <v>78</v>
      </c>
      <c r="C75" s="12"/>
      <c r="D75" s="12"/>
      <c r="E75" s="12"/>
      <c r="F75" s="12"/>
      <c r="G75" s="12" t="s">
        <v>79</v>
      </c>
      <c r="H75" s="13"/>
      <c r="L75" s="18"/>
      <c r="O75" s="32"/>
      <c r="P75" s="32"/>
      <c r="BY75" s="22"/>
      <c r="CE75" s="24"/>
    </row>
    <row r="76" spans="1:83" ht="13.5" thickBot="1">
      <c r="A76" s="29"/>
      <c r="B76" s="28"/>
      <c r="D76" s="19"/>
      <c r="E76" s="20"/>
      <c r="L76" s="18"/>
      <c r="O76" s="32"/>
      <c r="P76" s="32"/>
      <c r="BY76" s="22"/>
      <c r="CE76" s="24"/>
    </row>
    <row r="77" spans="1:83" ht="13.5" thickBot="1">
      <c r="A77" s="2">
        <f>BX77+(VLOOKUP('Group Points'!$E$2,'Group Points'!$D$4:$E$27,2)/24)</f>
        <v>38898.708333333336</v>
      </c>
      <c r="B77" s="3">
        <f>BX77+(VLOOKUP('Group Points'!$E$2,'Group Points'!$D$4:$E$27,2)/24)</f>
        <v>38898.708333333336</v>
      </c>
      <c r="C77" s="5" t="str">
        <f>I64</f>
        <v>Game 1</v>
      </c>
      <c r="D77" s="49"/>
      <c r="E77" s="50"/>
      <c r="F77" s="7" t="str">
        <f>I65</f>
        <v>Game 2</v>
      </c>
      <c r="G77" s="6" t="s">
        <v>69</v>
      </c>
      <c r="I77" s="6" t="str">
        <f>IF(D77&lt;&gt;"",IF(D77&gt;E77,C77,IF(E77&gt;D77,F77,"Draw"))," Quart de Finale 1 ")</f>
        <v> Quart de Finale 1 </v>
      </c>
      <c r="L77" s="18"/>
      <c r="O77" s="32"/>
      <c r="P77" s="32"/>
      <c r="BX77" s="47">
        <v>38898.625</v>
      </c>
      <c r="BY77" s="22"/>
      <c r="CE77" s="24"/>
    </row>
    <row r="78" spans="1:83" ht="13.5" thickBot="1">
      <c r="A78" s="2">
        <f>BX78+(VLOOKUP('Group Points'!$E$2,'Group Points'!$D$4:$E$27,2)/24)</f>
        <v>38898.875</v>
      </c>
      <c r="B78" s="3">
        <f>BX78+(VLOOKUP('Group Points'!$E$2,'Group Points'!$D$4:$E$27,2)/24)</f>
        <v>38898.875</v>
      </c>
      <c r="C78" s="5" t="str">
        <f>I68</f>
        <v>Game 5</v>
      </c>
      <c r="D78" s="49"/>
      <c r="E78" s="50"/>
      <c r="F78" s="7" t="str">
        <f>I69</f>
        <v>Game 6</v>
      </c>
      <c r="G78" s="6" t="s">
        <v>68</v>
      </c>
      <c r="I78" s="6" t="str">
        <f>IF(D78&lt;&gt;"",IF(D78&gt;E78,C78,IF(E78&gt;D78,F78,"Draw"))," Quart de Finale 2 ")</f>
        <v> Quart de Finale 2 </v>
      </c>
      <c r="L78" s="18"/>
      <c r="O78" s="32"/>
      <c r="P78" s="32"/>
      <c r="BX78" s="47">
        <v>38898.791666666664</v>
      </c>
      <c r="BY78" s="22"/>
      <c r="CE78" s="24"/>
    </row>
    <row r="79" spans="1:83" ht="13.5" thickBot="1">
      <c r="A79" s="2">
        <f>BX79+(VLOOKUP('Group Points'!$E$2,'Group Points'!$D$4:$E$27,2)/24)</f>
        <v>38899.708333333336</v>
      </c>
      <c r="B79" s="3">
        <f>BX79+(VLOOKUP('Group Points'!$E$2,'Group Points'!$D$4:$E$27,2)/24)</f>
        <v>38899.708333333336</v>
      </c>
      <c r="C79" s="5" t="str">
        <f>I66</f>
        <v>Game 3</v>
      </c>
      <c r="D79" s="49"/>
      <c r="E79" s="50"/>
      <c r="F79" s="7" t="str">
        <f>I67</f>
        <v>Game 4</v>
      </c>
      <c r="G79" s="6" t="s">
        <v>66</v>
      </c>
      <c r="I79" s="6" t="str">
        <f>IF(D79&lt;&gt;"",IF(D79&gt;E79,C79,IF(E79&gt;D79,F79,"Draw"))," Quart de Finale 3 ")</f>
        <v> Quart de Finale 3 </v>
      </c>
      <c r="L79" s="18"/>
      <c r="O79" s="32"/>
      <c r="P79" s="32"/>
      <c r="BX79" s="47">
        <v>38899.625</v>
      </c>
      <c r="BY79" s="22"/>
      <c r="CE79" s="24"/>
    </row>
    <row r="80" spans="1:83" ht="13.5" thickBot="1">
      <c r="A80" s="2">
        <f>BX80+(VLOOKUP('Group Points'!$E$2,'Group Points'!$D$4:$E$27,2)/24)</f>
        <v>38899.875</v>
      </c>
      <c r="B80" s="3">
        <f>BX80+(VLOOKUP('Group Points'!$E$2,'Group Points'!$D$4:$E$27,2)/24)</f>
        <v>38899.875</v>
      </c>
      <c r="C80" s="5" t="str">
        <f>I70</f>
        <v>Game 7</v>
      </c>
      <c r="D80" s="49"/>
      <c r="E80" s="50"/>
      <c r="F80" s="7" t="str">
        <f>I71</f>
        <v>Game 8</v>
      </c>
      <c r="G80" s="6" t="s">
        <v>71</v>
      </c>
      <c r="I80" s="6" t="str">
        <f>IF(D80&lt;&gt;"",IF(D80&gt;E80,C80,IF(E80&gt;D80,F80,"Draw"))," Quart de Finale 4 ")</f>
        <v> Quart de Finale 4 </v>
      </c>
      <c r="L80" s="18"/>
      <c r="O80" s="32"/>
      <c r="P80" s="32"/>
      <c r="BX80" s="47">
        <v>38899.791666666664</v>
      </c>
      <c r="BY80" s="22"/>
      <c r="CE80" s="24"/>
    </row>
    <row r="81" spans="1:83" ht="12.75">
      <c r="A81" s="29"/>
      <c r="B81" s="28"/>
      <c r="D81" s="19"/>
      <c r="E81" s="20"/>
      <c r="L81" s="18"/>
      <c r="O81" s="32"/>
      <c r="P81" s="32"/>
      <c r="BY81" s="22"/>
      <c r="CE81" s="24"/>
    </row>
    <row r="82" spans="12:83" ht="12.75">
      <c r="L82" s="18"/>
      <c r="O82" s="32"/>
      <c r="P82" s="32"/>
      <c r="BY82" s="22"/>
      <c r="CE82" s="24"/>
    </row>
    <row r="83" spans="1:83" ht="15">
      <c r="A83" s="65" t="s">
        <v>90</v>
      </c>
      <c r="B83" s="66"/>
      <c r="C83" s="66"/>
      <c r="D83" s="66"/>
      <c r="E83" s="66"/>
      <c r="F83" s="66"/>
      <c r="G83" s="66"/>
      <c r="H83" s="67"/>
      <c r="L83" s="18"/>
      <c r="O83" s="32"/>
      <c r="P83" s="32"/>
      <c r="BY83" s="22"/>
      <c r="CE83" s="24"/>
    </row>
    <row r="84" spans="1:83" ht="15">
      <c r="A84" s="10" t="s">
        <v>31</v>
      </c>
      <c r="B84" s="11" t="s">
        <v>78</v>
      </c>
      <c r="C84" s="12"/>
      <c r="D84" s="12"/>
      <c r="E84" s="12"/>
      <c r="F84" s="12"/>
      <c r="G84" s="12" t="s">
        <v>79</v>
      </c>
      <c r="H84" s="13"/>
      <c r="BY84" s="22"/>
      <c r="CE84" s="24"/>
    </row>
    <row r="85" spans="77:83" ht="13.5" thickBot="1">
      <c r="BY85" s="22"/>
      <c r="CE85" s="24"/>
    </row>
    <row r="86" spans="1:83" ht="13.5" thickBot="1">
      <c r="A86" s="2">
        <f>BX86+(VLOOKUP('Group Points'!$E$2,'Group Points'!$D$4:$E$27,2)/24)</f>
        <v>38902.875</v>
      </c>
      <c r="B86" s="3">
        <f>BX86+(VLOOKUP('Group Points'!$E$2,'Group Points'!$D$4:$E$27,2)/24)</f>
        <v>38902.875</v>
      </c>
      <c r="C86" s="5" t="str">
        <f>I77</f>
        <v> Quart de Finale 1 </v>
      </c>
      <c r="D86" s="49"/>
      <c r="E86" s="50"/>
      <c r="F86" s="7" t="str">
        <f>I78</f>
        <v> Quart de Finale 2 </v>
      </c>
      <c r="G86" s="6" t="s">
        <v>67</v>
      </c>
      <c r="I86" s="6" t="str">
        <f>IF(D86&lt;&gt;"",IF(D86&gt;E86,C86,IF(E86&gt;D86,F86,"Draw"))," Demi Finale 1 ")</f>
        <v> Demi Finale 1 </v>
      </c>
      <c r="BX86" s="48">
        <v>38902.791666666664</v>
      </c>
      <c r="BY86" s="22"/>
      <c r="CE86" s="24"/>
    </row>
    <row r="87" spans="1:83" ht="13.5" thickBot="1">
      <c r="A87" s="2">
        <f>BX87+(VLOOKUP('Group Points'!$E$2,'Group Points'!$D$4:$E$27,2)/24)</f>
        <v>38903.875</v>
      </c>
      <c r="B87" s="3">
        <f>BX87+(VLOOKUP('Group Points'!$E$2,'Group Points'!$D$4:$E$27,2)/24)</f>
        <v>38903.875</v>
      </c>
      <c r="C87" s="5" t="str">
        <f>I79</f>
        <v> Quart de Finale 3 </v>
      </c>
      <c r="D87" s="49"/>
      <c r="E87" s="50"/>
      <c r="F87" s="7" t="str">
        <f>I80</f>
        <v> Quart de Finale 4 </v>
      </c>
      <c r="G87" s="6" t="s">
        <v>65</v>
      </c>
      <c r="I87" s="6" t="str">
        <f>IF(D87&lt;&gt;"",IF(D87&gt;E87,C87,IF(E87&gt;D87,F87,"Draw"))," Demi Finale 2 ")</f>
        <v> Demi Finale 2 </v>
      </c>
      <c r="BX87" s="48">
        <v>38903.791666666664</v>
      </c>
      <c r="BY87" s="22"/>
      <c r="CE87" s="24"/>
    </row>
    <row r="88" spans="77:83" ht="12.75">
      <c r="BY88" s="22"/>
      <c r="CE88" s="24"/>
    </row>
    <row r="89" spans="77:83" ht="12.75">
      <c r="BY89" s="22"/>
      <c r="CE89" s="24"/>
    </row>
    <row r="90" spans="1:83" ht="15">
      <c r="A90" s="65" t="s">
        <v>131</v>
      </c>
      <c r="B90" s="66"/>
      <c r="C90" s="66"/>
      <c r="D90" s="66"/>
      <c r="E90" s="66"/>
      <c r="F90" s="66"/>
      <c r="G90" s="66"/>
      <c r="H90" s="67"/>
      <c r="BY90" s="22"/>
      <c r="CE90" s="24"/>
    </row>
    <row r="91" spans="1:83" ht="15">
      <c r="A91" s="10" t="s">
        <v>31</v>
      </c>
      <c r="B91" s="11" t="s">
        <v>78</v>
      </c>
      <c r="C91" s="12"/>
      <c r="D91" s="12"/>
      <c r="E91" s="12"/>
      <c r="F91" s="12"/>
      <c r="G91" s="12" t="s">
        <v>79</v>
      </c>
      <c r="H91" s="13"/>
      <c r="BY91" s="22"/>
      <c r="CE91" s="24"/>
    </row>
    <row r="92" spans="77:83" ht="13.5" thickBot="1">
      <c r="BY92" s="22"/>
      <c r="CE92" s="24"/>
    </row>
    <row r="93" spans="1:83" ht="13.5" thickBot="1">
      <c r="A93" s="2">
        <f>BX93+(VLOOKUP('Group Points'!$E$2,'Group Points'!$D$4:$E$27,2)/24)</f>
        <v>38906.875</v>
      </c>
      <c r="B93" s="3">
        <f>BX93+(VLOOKUP('Group Points'!$E$2,'Group Points'!$D$4:$E$27,2)/24)</f>
        <v>38906.875</v>
      </c>
      <c r="C93" s="7" t="str">
        <f>IF(C86=I86,F86,C86)</f>
        <v> Quart de Finale 1 </v>
      </c>
      <c r="D93" s="49"/>
      <c r="E93" s="50"/>
      <c r="F93" s="7" t="str">
        <f>IF(C87=I87,F87,C87)</f>
        <v> Quart de Finale 3 </v>
      </c>
      <c r="G93" s="6" t="s">
        <v>76</v>
      </c>
      <c r="I93" s="6">
        <f>IF(D93&lt;&gt;"",IF(D93&gt;E93,C93,IF(E93&gt;D93,F93,"Draw")),"")</f>
      </c>
      <c r="BX93" s="48">
        <v>38906.791666666664</v>
      </c>
      <c r="BY93" s="22"/>
      <c r="CE93" s="24"/>
    </row>
    <row r="94" spans="77:83" ht="12.75">
      <c r="BY94" s="22"/>
      <c r="CE94" s="24"/>
    </row>
    <row r="95" spans="2:83" ht="12.75">
      <c r="B95" s="8" t="s">
        <v>40</v>
      </c>
      <c r="C95" s="8">
        <f>$I$93</f>
      </c>
      <c r="BY95" s="22"/>
      <c r="CE95" s="24"/>
    </row>
    <row r="96" spans="77:83" ht="12.75">
      <c r="BY96" s="22"/>
      <c r="CE96" s="24"/>
    </row>
    <row r="97" spans="1:83" ht="15">
      <c r="A97" s="65" t="s">
        <v>132</v>
      </c>
      <c r="B97" s="66"/>
      <c r="C97" s="66"/>
      <c r="D97" s="66"/>
      <c r="E97" s="66"/>
      <c r="F97" s="66"/>
      <c r="G97" s="66"/>
      <c r="H97" s="67"/>
      <c r="BY97" s="22"/>
      <c r="CE97" s="24"/>
    </row>
    <row r="98" spans="1:83" ht="15">
      <c r="A98" s="10" t="s">
        <v>31</v>
      </c>
      <c r="B98" s="11" t="s">
        <v>78</v>
      </c>
      <c r="C98" s="12"/>
      <c r="D98" s="12"/>
      <c r="E98" s="12"/>
      <c r="F98" s="12"/>
      <c r="G98" s="12" t="s">
        <v>79</v>
      </c>
      <c r="H98" s="13"/>
      <c r="BY98" s="22"/>
      <c r="CE98" s="24"/>
    </row>
    <row r="99" spans="77:83" ht="13.5" thickBot="1">
      <c r="BY99" s="22"/>
      <c r="CE99" s="24"/>
    </row>
    <row r="100" spans="1:83" ht="13.5" thickBot="1">
      <c r="A100" s="2">
        <f>BX100+(VLOOKUP('Group Points'!$E$2,'Group Points'!$D$4:$E$27,2)/24)</f>
        <v>38907.875</v>
      </c>
      <c r="B100" s="3">
        <f>BX100+(VLOOKUP('Group Points'!$E$2,'Group Points'!$D$4:$E$27,2)/24)</f>
        <v>38907.875</v>
      </c>
      <c r="C100" s="5" t="str">
        <f>I86</f>
        <v> Demi Finale 1 </v>
      </c>
      <c r="D100" s="49"/>
      <c r="E100" s="50"/>
      <c r="F100" s="7" t="str">
        <f>I87</f>
        <v> Demi Finale 2 </v>
      </c>
      <c r="G100" s="6" t="s">
        <v>69</v>
      </c>
      <c r="I100" s="6">
        <f>IF(D100&lt;&gt;"",IF(D100&gt;E100,C100,IF(E100&gt;D100,F100,"Draw")),"")</f>
      </c>
      <c r="BX100" s="48">
        <v>38907.791666666664</v>
      </c>
      <c r="BY100" s="22"/>
      <c r="CE100" s="24"/>
    </row>
    <row r="101" ht="12.75">
      <c r="CE101" s="24"/>
    </row>
    <row r="102" spans="2:83" ht="18">
      <c r="B102" s="8" t="s">
        <v>130</v>
      </c>
      <c r="C102" s="30">
        <f>$I$100</f>
      </c>
      <c r="CE102" s="24"/>
    </row>
    <row r="103" ht="12.75">
      <c r="CE103" s="24"/>
    </row>
    <row r="104" ht="12.75">
      <c r="CE104" s="24"/>
    </row>
    <row r="105" ht="12.75">
      <c r="CE105" s="24"/>
    </row>
    <row r="106" ht="12.75">
      <c r="CE106" s="24"/>
    </row>
    <row r="107" ht="12.75">
      <c r="CE107" s="24"/>
    </row>
    <row r="108" spans="1:83" ht="12.75">
      <c r="A108" s="31"/>
      <c r="B108" s="28"/>
      <c r="CE108" s="24"/>
    </row>
    <row r="109" ht="12.75">
      <c r="CE109" s="24"/>
    </row>
    <row r="110" ht="12.75">
      <c r="CE110" s="24"/>
    </row>
    <row r="111" ht="12.75">
      <c r="CE111" s="24"/>
    </row>
    <row r="112" ht="12.75">
      <c r="CE112" s="24"/>
    </row>
    <row r="113" ht="12.75">
      <c r="CE113" s="24"/>
    </row>
    <row r="114" ht="12.75">
      <c r="CE114" s="24"/>
    </row>
    <row r="115" ht="12.75">
      <c r="CE115" s="24"/>
    </row>
    <row r="116" ht="12.75">
      <c r="CE116" s="24"/>
    </row>
    <row r="117" ht="12.75">
      <c r="CE117" s="24"/>
    </row>
    <row r="118" ht="12.75">
      <c r="CE118" s="24"/>
    </row>
    <row r="119" ht="12.75">
      <c r="CE119" s="24"/>
    </row>
    <row r="120" ht="12.75">
      <c r="CE120" s="24"/>
    </row>
    <row r="121" ht="12.75">
      <c r="CE121" s="24"/>
    </row>
    <row r="122" ht="12.75">
      <c r="CE122" s="24"/>
    </row>
    <row r="123" ht="12.75">
      <c r="CE123" s="24"/>
    </row>
    <row r="124" ht="12.75">
      <c r="CE124" s="24"/>
    </row>
    <row r="125" ht="12.75">
      <c r="CE125" s="24"/>
    </row>
    <row r="126" ht="12.75">
      <c r="CE126" s="24"/>
    </row>
    <row r="127" ht="12.75">
      <c r="CE127" s="24"/>
    </row>
    <row r="128" ht="12.75">
      <c r="CE128" s="24"/>
    </row>
    <row r="129" ht="12.75">
      <c r="CE129" s="24"/>
    </row>
    <row r="130" ht="12.75">
      <c r="CE130" s="24"/>
    </row>
    <row r="131" ht="12.75">
      <c r="CE131" s="24"/>
    </row>
    <row r="132" ht="12.75">
      <c r="CE132" s="24"/>
    </row>
    <row r="133" ht="12.75">
      <c r="CE133" s="24"/>
    </row>
    <row r="134" ht="12.75">
      <c r="CE134" s="24"/>
    </row>
    <row r="135" ht="12.75">
      <c r="CE135" s="24"/>
    </row>
    <row r="136" ht="12.75">
      <c r="CE136" s="24"/>
    </row>
    <row r="137" ht="12.75">
      <c r="CE137" s="24"/>
    </row>
    <row r="138" ht="12.75">
      <c r="CE138" s="24"/>
    </row>
    <row r="139" ht="12.75">
      <c r="CE139" s="24"/>
    </row>
    <row r="140" ht="12.75">
      <c r="CE140" s="24"/>
    </row>
    <row r="141" ht="12.75">
      <c r="CE141" s="24"/>
    </row>
    <row r="142" ht="12.75">
      <c r="CE142" s="24"/>
    </row>
    <row r="143" ht="12.75">
      <c r="CE143" s="24"/>
    </row>
    <row r="144" ht="12.75">
      <c r="CE144" s="24"/>
    </row>
    <row r="145" ht="12.75">
      <c r="CE145" s="24"/>
    </row>
    <row r="146" ht="12.75">
      <c r="CE146" s="24"/>
    </row>
    <row r="147" ht="12.75">
      <c r="CE147" s="24"/>
    </row>
    <row r="148" ht="12.75">
      <c r="CE148" s="24"/>
    </row>
    <row r="149" ht="12.75">
      <c r="CE149" s="24"/>
    </row>
    <row r="150" ht="12.75">
      <c r="CE150" s="24"/>
    </row>
    <row r="151" ht="12.75">
      <c r="CE151" s="24"/>
    </row>
    <row r="152" ht="12.75">
      <c r="CE152" s="24"/>
    </row>
    <row r="153" ht="12.75">
      <c r="CE153" s="24"/>
    </row>
    <row r="154" ht="12.75">
      <c r="CE154" s="24"/>
    </row>
    <row r="155" ht="12.75">
      <c r="CE155" s="24"/>
    </row>
    <row r="156" ht="12.75">
      <c r="CE156" s="24"/>
    </row>
    <row r="157" ht="12.75">
      <c r="CE157" s="24"/>
    </row>
    <row r="158" ht="12.75">
      <c r="CE158" s="24"/>
    </row>
    <row r="159" ht="12.75">
      <c r="CE159" s="24"/>
    </row>
    <row r="160" ht="12.75">
      <c r="CE160" s="24"/>
    </row>
    <row r="161" ht="12.75">
      <c r="CE161" s="24"/>
    </row>
    <row r="162" ht="12.75">
      <c r="CE162" s="24"/>
    </row>
    <row r="163" ht="12.75">
      <c r="CE163" s="24"/>
    </row>
    <row r="164" ht="12.75">
      <c r="CE164" s="24"/>
    </row>
    <row r="165" ht="12.75">
      <c r="CE165" s="24"/>
    </row>
    <row r="166" ht="12.75">
      <c r="CE166" s="24"/>
    </row>
    <row r="167" ht="12.75">
      <c r="CE167" s="24"/>
    </row>
    <row r="168" ht="12.75">
      <c r="CE168" s="24"/>
    </row>
    <row r="169" ht="12.75">
      <c r="CE169" s="24"/>
    </row>
    <row r="170" ht="12.75">
      <c r="CE170" s="24"/>
    </row>
    <row r="171" ht="12.75">
      <c r="CE171" s="24"/>
    </row>
    <row r="172" ht="12.75">
      <c r="CE172" s="24"/>
    </row>
    <row r="173" ht="12.75">
      <c r="CE173" s="24"/>
    </row>
    <row r="174" ht="12.75">
      <c r="CE174" s="24"/>
    </row>
    <row r="175" ht="12.75">
      <c r="CE175" s="24"/>
    </row>
    <row r="176" ht="12.75">
      <c r="CE176" s="24"/>
    </row>
    <row r="177" ht="12.75">
      <c r="CE177" s="24"/>
    </row>
    <row r="178" ht="12.75">
      <c r="CE178" s="24"/>
    </row>
    <row r="179" ht="12.75">
      <c r="CE179" s="24"/>
    </row>
    <row r="180" ht="12.75">
      <c r="CE180" s="24"/>
    </row>
    <row r="181" ht="12.75">
      <c r="CE181" s="24"/>
    </row>
    <row r="182" ht="12.75">
      <c r="CE182" s="24"/>
    </row>
    <row r="183" ht="12.75">
      <c r="CE183" s="24"/>
    </row>
    <row r="184" ht="12.75">
      <c r="CE184" s="24"/>
    </row>
    <row r="185" ht="12.75">
      <c r="CE185" s="24"/>
    </row>
    <row r="186" ht="12.75">
      <c r="CE186" s="24"/>
    </row>
    <row r="187" ht="12.75">
      <c r="CE187" s="24"/>
    </row>
    <row r="188" ht="12.75">
      <c r="CE188" s="24"/>
    </row>
    <row r="189" ht="12.75">
      <c r="CE189" s="24"/>
    </row>
    <row r="190" ht="12.75">
      <c r="CE190" s="24"/>
    </row>
    <row r="191" ht="12.75">
      <c r="CE191" s="24"/>
    </row>
    <row r="192" ht="12.75">
      <c r="CE192" s="24"/>
    </row>
    <row r="193" ht="12.75">
      <c r="CE193" s="24"/>
    </row>
    <row r="194" ht="12.75">
      <c r="CE194" s="24"/>
    </row>
    <row r="195" ht="12.75">
      <c r="CE195" s="24"/>
    </row>
    <row r="196" ht="12.75">
      <c r="CE196" s="24"/>
    </row>
    <row r="197" ht="12.75">
      <c r="CE197" s="24"/>
    </row>
    <row r="198" ht="12.75">
      <c r="CE198" s="24"/>
    </row>
    <row r="199" ht="12.75">
      <c r="CE199" s="24"/>
    </row>
    <row r="200" ht="12.75">
      <c r="CE200" s="24"/>
    </row>
    <row r="201" ht="12.75">
      <c r="CE201" s="24"/>
    </row>
    <row r="202" ht="12.75">
      <c r="CE202" s="24"/>
    </row>
    <row r="203" ht="12.75">
      <c r="CE203" s="24"/>
    </row>
    <row r="204" ht="12.75">
      <c r="CE204" s="24"/>
    </row>
    <row r="205" ht="12.75">
      <c r="CE205" s="24"/>
    </row>
    <row r="206" ht="12.75">
      <c r="CE206" s="24"/>
    </row>
    <row r="207" ht="12.75">
      <c r="CE207" s="24"/>
    </row>
    <row r="208" ht="12.75">
      <c r="CE208" s="24"/>
    </row>
    <row r="209" ht="12.75">
      <c r="CE209" s="24"/>
    </row>
    <row r="210" ht="12.75">
      <c r="CE210" s="24"/>
    </row>
    <row r="211" ht="12.75">
      <c r="CE211" s="24"/>
    </row>
    <row r="212" ht="12.75">
      <c r="CE212" s="24"/>
    </row>
    <row r="213" ht="12.75">
      <c r="CE213" s="24"/>
    </row>
    <row r="214" ht="12.75">
      <c r="CE214" s="24"/>
    </row>
    <row r="215" ht="12.75">
      <c r="CE215" s="24"/>
    </row>
    <row r="216" ht="12.75">
      <c r="CE216" s="24"/>
    </row>
    <row r="217" ht="12.75">
      <c r="CE217" s="24"/>
    </row>
    <row r="218" ht="12.75">
      <c r="CE218" s="24"/>
    </row>
    <row r="219" ht="12.75">
      <c r="CE219" s="24"/>
    </row>
    <row r="220" ht="12.75">
      <c r="CE220" s="24"/>
    </row>
    <row r="221" ht="12.75">
      <c r="CE221" s="24"/>
    </row>
    <row r="222" ht="12.75">
      <c r="CE222" s="24"/>
    </row>
    <row r="223" ht="12.75">
      <c r="CE223" s="24"/>
    </row>
    <row r="224" ht="12.75">
      <c r="CE224" s="24"/>
    </row>
    <row r="225" ht="12.75">
      <c r="CE225" s="24"/>
    </row>
    <row r="226" ht="12.75">
      <c r="CE226" s="24"/>
    </row>
    <row r="227" ht="12.75">
      <c r="CE227" s="24"/>
    </row>
    <row r="228" ht="12.75">
      <c r="CE228" s="24"/>
    </row>
    <row r="229" ht="12.75">
      <c r="CE229" s="24"/>
    </row>
    <row r="230" ht="12.75">
      <c r="CE230" s="24"/>
    </row>
    <row r="231" ht="12.75">
      <c r="CE231" s="24"/>
    </row>
    <row r="232" ht="12.75">
      <c r="CE232" s="24"/>
    </row>
    <row r="233" ht="12.75">
      <c r="CE233" s="24"/>
    </row>
    <row r="234" ht="12.75">
      <c r="CE234" s="24"/>
    </row>
    <row r="235" ht="12.75">
      <c r="CE235" s="24"/>
    </row>
    <row r="236" ht="12.75">
      <c r="CE236" s="24"/>
    </row>
    <row r="237" ht="12.75">
      <c r="CE237" s="24"/>
    </row>
    <row r="238" ht="12.75">
      <c r="CE238" s="24"/>
    </row>
    <row r="239" ht="12.75">
      <c r="CE239" s="24"/>
    </row>
    <row r="240" ht="12.75">
      <c r="CE240" s="24"/>
    </row>
    <row r="241" ht="12.75">
      <c r="CE241" s="24"/>
    </row>
    <row r="242" ht="12.75">
      <c r="CE242" s="24"/>
    </row>
    <row r="243" ht="12.75">
      <c r="CE243" s="24"/>
    </row>
    <row r="244" ht="12.75">
      <c r="CE244" s="24"/>
    </row>
    <row r="245" ht="12.75">
      <c r="CE245" s="24"/>
    </row>
    <row r="246" ht="12.75">
      <c r="CE246" s="24"/>
    </row>
    <row r="247" ht="12.75">
      <c r="CE247" s="24"/>
    </row>
    <row r="248" ht="12.75">
      <c r="CE248" s="24"/>
    </row>
    <row r="249" ht="12.75">
      <c r="CE249" s="24"/>
    </row>
    <row r="250" ht="12.75">
      <c r="CE250" s="24"/>
    </row>
    <row r="251" ht="12.75">
      <c r="CE251" s="24"/>
    </row>
    <row r="252" ht="12.75">
      <c r="CE252" s="24"/>
    </row>
    <row r="253" ht="12.75">
      <c r="CE253" s="24"/>
    </row>
    <row r="254" ht="12.75">
      <c r="CE254" s="24"/>
    </row>
    <row r="255" ht="12.75">
      <c r="CE255" s="24"/>
    </row>
    <row r="256" ht="12.75">
      <c r="CE256" s="24"/>
    </row>
    <row r="257" ht="12.75">
      <c r="CE257" s="24"/>
    </row>
    <row r="258" ht="12.75">
      <c r="CE258" s="24"/>
    </row>
    <row r="259" ht="12.75">
      <c r="CE259" s="24"/>
    </row>
    <row r="260" ht="12.75">
      <c r="CE260" s="24"/>
    </row>
    <row r="261" ht="12.75">
      <c r="CE261" s="24"/>
    </row>
    <row r="262" ht="12.75">
      <c r="CE262" s="24"/>
    </row>
    <row r="263" ht="12.75">
      <c r="CE263" s="24"/>
    </row>
    <row r="264" ht="12.75">
      <c r="CE264" s="24"/>
    </row>
    <row r="265" ht="12.75">
      <c r="CE265" s="24"/>
    </row>
    <row r="266" ht="12.75">
      <c r="CE266" s="24"/>
    </row>
    <row r="267" ht="12.75">
      <c r="CE267" s="24"/>
    </row>
    <row r="268" ht="12.75">
      <c r="CE268" s="24"/>
    </row>
    <row r="269" ht="12.75">
      <c r="CE269" s="24"/>
    </row>
    <row r="270" ht="12.75">
      <c r="CE270" s="24"/>
    </row>
    <row r="271" ht="12.75">
      <c r="CE271" s="24"/>
    </row>
    <row r="272" ht="12.75">
      <c r="CE272" s="24"/>
    </row>
    <row r="273" ht="12.75">
      <c r="CE273" s="24"/>
    </row>
    <row r="274" ht="12.75">
      <c r="CE274" s="24"/>
    </row>
    <row r="275" ht="12.75">
      <c r="CE275" s="24"/>
    </row>
    <row r="276" ht="12.75">
      <c r="CE276" s="24"/>
    </row>
    <row r="277" ht="12.75">
      <c r="CE277" s="24"/>
    </row>
    <row r="278" ht="12.75">
      <c r="CE278" s="24"/>
    </row>
    <row r="279" ht="12.75">
      <c r="CE279" s="24"/>
    </row>
    <row r="280" ht="12.75">
      <c r="CE280" s="24"/>
    </row>
    <row r="281" ht="12.75">
      <c r="CE281" s="24"/>
    </row>
    <row r="282" ht="12.75">
      <c r="CE282" s="24"/>
    </row>
    <row r="283" ht="12.75">
      <c r="CE283" s="24"/>
    </row>
    <row r="284" ht="12.75">
      <c r="CE284" s="24"/>
    </row>
    <row r="285" ht="12.75">
      <c r="CE285" s="24"/>
    </row>
    <row r="286" ht="12.75">
      <c r="CE286" s="24"/>
    </row>
    <row r="287" ht="12.75">
      <c r="CE287" s="24"/>
    </row>
    <row r="288" ht="12.75">
      <c r="CE288" s="24"/>
    </row>
    <row r="289" ht="12.75">
      <c r="CE289" s="24"/>
    </row>
    <row r="290" ht="12.75">
      <c r="CE290" s="24"/>
    </row>
    <row r="291" ht="12.75">
      <c r="CE291" s="24"/>
    </row>
    <row r="292" ht="12.75">
      <c r="CE292" s="24"/>
    </row>
    <row r="293" ht="12.75">
      <c r="CE293" s="24"/>
    </row>
    <row r="294" ht="12.75">
      <c r="CE294" s="24"/>
    </row>
    <row r="295" ht="12.75">
      <c r="CE295" s="24"/>
    </row>
    <row r="296" ht="12.75">
      <c r="CE296" s="24"/>
    </row>
    <row r="297" ht="12.75">
      <c r="CE297" s="24"/>
    </row>
    <row r="298" ht="12.75">
      <c r="CE298" s="24"/>
    </row>
    <row r="299" ht="12.75">
      <c r="CE299" s="24"/>
    </row>
    <row r="300" ht="12.75">
      <c r="CE300" s="24"/>
    </row>
    <row r="301" ht="12.75">
      <c r="CE301" s="24"/>
    </row>
    <row r="302" ht="12.75">
      <c r="CE302" s="24"/>
    </row>
    <row r="303" ht="12.75">
      <c r="CE303" s="24"/>
    </row>
    <row r="304" ht="12.75">
      <c r="CE304" s="24"/>
    </row>
    <row r="305" ht="12.75">
      <c r="CE305" s="24"/>
    </row>
    <row r="306" ht="12.75">
      <c r="CE306" s="24"/>
    </row>
    <row r="307" ht="12.75">
      <c r="CE307" s="24"/>
    </row>
    <row r="308" ht="12.75">
      <c r="CE308" s="24"/>
    </row>
    <row r="309" ht="12.75">
      <c r="CE309" s="24"/>
    </row>
    <row r="310" ht="12.75">
      <c r="CE310" s="24"/>
    </row>
    <row r="311" ht="12.75">
      <c r="CE311" s="24"/>
    </row>
    <row r="312" ht="12.75">
      <c r="CE312" s="24"/>
    </row>
    <row r="313" ht="12.75">
      <c r="CE313" s="24"/>
    </row>
    <row r="314" ht="12.75">
      <c r="CE314" s="24"/>
    </row>
    <row r="315" ht="12.75">
      <c r="CE315" s="24"/>
    </row>
    <row r="316" ht="12.75">
      <c r="CE316" s="24"/>
    </row>
    <row r="317" ht="12.75">
      <c r="CE317" s="24"/>
    </row>
    <row r="318" ht="12.75">
      <c r="CE318" s="24"/>
    </row>
    <row r="319" ht="12.75">
      <c r="CE319" s="24"/>
    </row>
    <row r="320" ht="12.75">
      <c r="CE320" s="24"/>
    </row>
    <row r="321" ht="12.75">
      <c r="CE321" s="24"/>
    </row>
    <row r="322" ht="12.75">
      <c r="CE322" s="24"/>
    </row>
    <row r="323" ht="12.75">
      <c r="CE323" s="24"/>
    </row>
    <row r="324" ht="12.75">
      <c r="CE324" s="24"/>
    </row>
    <row r="325" ht="12.75">
      <c r="CE325" s="24"/>
    </row>
    <row r="326" ht="12.75">
      <c r="CE326" s="24"/>
    </row>
    <row r="327" ht="12.75">
      <c r="CE327" s="24"/>
    </row>
    <row r="328" ht="12.75">
      <c r="CE328" s="24"/>
    </row>
    <row r="329" ht="12.75">
      <c r="CE329" s="24"/>
    </row>
    <row r="330" ht="12.75">
      <c r="CE330" s="24"/>
    </row>
    <row r="331" ht="12.75">
      <c r="CE331" s="24"/>
    </row>
    <row r="332" ht="12.75">
      <c r="CE332" s="24"/>
    </row>
    <row r="333" ht="12.75">
      <c r="CE333" s="24"/>
    </row>
    <row r="334" ht="12.75">
      <c r="CE334" s="24"/>
    </row>
    <row r="335" ht="12.75">
      <c r="CE335" s="24"/>
    </row>
    <row r="336" ht="12.75">
      <c r="CE336" s="24"/>
    </row>
    <row r="337" ht="12.75">
      <c r="CE337" s="24"/>
    </row>
    <row r="338" ht="12.75">
      <c r="CE338" s="24"/>
    </row>
    <row r="339" ht="12.75">
      <c r="CE339" s="24"/>
    </row>
    <row r="340" ht="12.75">
      <c r="CE340" s="24"/>
    </row>
    <row r="341" ht="12.75">
      <c r="CE341" s="24"/>
    </row>
    <row r="342" ht="12.75">
      <c r="CE342" s="24"/>
    </row>
    <row r="343" ht="12.75">
      <c r="CE343" s="24"/>
    </row>
    <row r="344" ht="12.75">
      <c r="CE344" s="24"/>
    </row>
    <row r="345" ht="12.75">
      <c r="CE345" s="24"/>
    </row>
    <row r="346" ht="12.75">
      <c r="CE346" s="24"/>
    </row>
    <row r="347" ht="12.75">
      <c r="CE347" s="24"/>
    </row>
    <row r="348" ht="12.75">
      <c r="CE348" s="24"/>
    </row>
    <row r="349" ht="12.75">
      <c r="CE349" s="24"/>
    </row>
    <row r="350" ht="12.75">
      <c r="CE350" s="24"/>
    </row>
    <row r="351" ht="12.75">
      <c r="CE351" s="24"/>
    </row>
    <row r="352" ht="12.75">
      <c r="CE352" s="24"/>
    </row>
    <row r="353" ht="12.75">
      <c r="CE353" s="24"/>
    </row>
    <row r="354" ht="12.75">
      <c r="CE354" s="24"/>
    </row>
    <row r="355" ht="12.75">
      <c r="CE355" s="24"/>
    </row>
    <row r="356" ht="12.75">
      <c r="CE356" s="24"/>
    </row>
    <row r="357" ht="12.75">
      <c r="CE357" s="24"/>
    </row>
    <row r="358" ht="12.75">
      <c r="CE358" s="24"/>
    </row>
    <row r="359" ht="12.75">
      <c r="CE359" s="24"/>
    </row>
    <row r="360" ht="12.75">
      <c r="CE360" s="24"/>
    </row>
    <row r="361" ht="12.75">
      <c r="CE361" s="24"/>
    </row>
    <row r="362" ht="12.75">
      <c r="CE362" s="24"/>
    </row>
    <row r="363" ht="12.75">
      <c r="CE363" s="24"/>
    </row>
    <row r="364" ht="12.75">
      <c r="CE364" s="24"/>
    </row>
    <row r="365" ht="12.75">
      <c r="CE365" s="24"/>
    </row>
    <row r="366" ht="12.75">
      <c r="CE366" s="24"/>
    </row>
    <row r="367" ht="12.75">
      <c r="CE367" s="24"/>
    </row>
    <row r="368" ht="12.75">
      <c r="CE368" s="24"/>
    </row>
    <row r="369" ht="12.75">
      <c r="CE369" s="24"/>
    </row>
    <row r="370" ht="12.75">
      <c r="CE370" s="24"/>
    </row>
    <row r="371" ht="12.75">
      <c r="CE371" s="24"/>
    </row>
    <row r="372" ht="12.75">
      <c r="CE372" s="24"/>
    </row>
    <row r="373" ht="12.75">
      <c r="CE373" s="24"/>
    </row>
    <row r="374" ht="12.75">
      <c r="CE374" s="24"/>
    </row>
    <row r="375" ht="12.75">
      <c r="CE375" s="24"/>
    </row>
    <row r="376" ht="12.75">
      <c r="CE376" s="24"/>
    </row>
    <row r="377" ht="12.75">
      <c r="CE377" s="24"/>
    </row>
    <row r="378" ht="12.75">
      <c r="CE378" s="24"/>
    </row>
    <row r="379" ht="12.75">
      <c r="CE379" s="24"/>
    </row>
    <row r="380" ht="12.75">
      <c r="CE380" s="24"/>
    </row>
    <row r="381" ht="12.75">
      <c r="CE381" s="24"/>
    </row>
    <row r="382" ht="12.75">
      <c r="CE382" s="24"/>
    </row>
    <row r="383" ht="12.75">
      <c r="CE383" s="24"/>
    </row>
    <row r="384" ht="12.75">
      <c r="CE384" s="24"/>
    </row>
    <row r="385" ht="12.75">
      <c r="CE385" s="24"/>
    </row>
    <row r="386" ht="12.75">
      <c r="CE386" s="24"/>
    </row>
    <row r="387" ht="12.75">
      <c r="CE387" s="24"/>
    </row>
    <row r="388" ht="12.75">
      <c r="CE388" s="24"/>
    </row>
    <row r="389" ht="12.75">
      <c r="CE389" s="24"/>
    </row>
    <row r="390" ht="12.75">
      <c r="CE390" s="24"/>
    </row>
    <row r="391" ht="12.75">
      <c r="CE391" s="24"/>
    </row>
    <row r="392" ht="12.75">
      <c r="CE392" s="24"/>
    </row>
    <row r="393" ht="12.75">
      <c r="CE393" s="24"/>
    </row>
    <row r="394" ht="12.75">
      <c r="CE394" s="24"/>
    </row>
    <row r="395" ht="12.75">
      <c r="CE395" s="24"/>
    </row>
    <row r="396" ht="12.75">
      <c r="CE396" s="24"/>
    </row>
    <row r="397" ht="12.75">
      <c r="CE397" s="24"/>
    </row>
    <row r="398" ht="12.75">
      <c r="CE398" s="24"/>
    </row>
    <row r="399" ht="12.75">
      <c r="CE399" s="24"/>
    </row>
    <row r="400" ht="12.75">
      <c r="CE400" s="24"/>
    </row>
    <row r="401" ht="12.75">
      <c r="CE401" s="24"/>
    </row>
    <row r="402" ht="12.75">
      <c r="CE402" s="24"/>
    </row>
  </sheetData>
  <sheetProtection/>
  <mergeCells count="7">
    <mergeCell ref="A97:H97"/>
    <mergeCell ref="D1:K1"/>
    <mergeCell ref="A4:H4"/>
    <mergeCell ref="A61:H61"/>
    <mergeCell ref="A83:H83"/>
    <mergeCell ref="A74:H74"/>
    <mergeCell ref="A90:H90"/>
  </mergeCells>
  <printOptions horizontalCentered="1"/>
  <pageMargins left="0.1968503937007874" right="0.1968503937007874" top="0.5118110236220472" bottom="0.59" header="0.5118110236220472" footer="0.56"/>
  <pageSetup fitToHeight="2" fitToWidth="1" horizontalDpi="360" verticalDpi="360" orientation="portrait" paperSize="9" scale="74" r:id="rId4"/>
  <rowBreaks count="1" manualBreakCount="1">
    <brk id="59" max="19" man="1"/>
  </rowBreaks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F15" sqref="F15"/>
    </sheetView>
  </sheetViews>
  <sheetFormatPr defaultColWidth="11.421875" defaultRowHeight="12.75"/>
  <cols>
    <col min="1" max="1" width="14.8515625" style="0" bestFit="1" customWidth="1"/>
    <col min="2" max="9" width="9.140625" style="0" customWidth="1"/>
    <col min="10" max="10" width="15.28125" style="0" bestFit="1" customWidth="1"/>
    <col min="11" max="16384" width="9.140625" style="0" customWidth="1"/>
  </cols>
  <sheetData>
    <row r="1" ht="12.75">
      <c r="E1" t="s">
        <v>41</v>
      </c>
    </row>
    <row r="2" spans="1:5" ht="12.75">
      <c r="A2" t="s">
        <v>13</v>
      </c>
      <c r="E2">
        <v>14</v>
      </c>
    </row>
    <row r="4" spans="1:10" ht="12.75">
      <c r="A4" t="s">
        <v>14</v>
      </c>
      <c r="B4">
        <v>3</v>
      </c>
      <c r="D4">
        <v>1</v>
      </c>
      <c r="E4">
        <v>-11</v>
      </c>
      <c r="F4" t="s">
        <v>53</v>
      </c>
      <c r="J4" s="1"/>
    </row>
    <row r="5" spans="1:10" ht="12.75">
      <c r="A5" t="s">
        <v>15</v>
      </c>
      <c r="B5">
        <v>1</v>
      </c>
      <c r="D5">
        <v>2</v>
      </c>
      <c r="E5">
        <v>-10</v>
      </c>
      <c r="F5" t="s">
        <v>54</v>
      </c>
      <c r="J5" s="1"/>
    </row>
    <row r="6" spans="4:10" ht="12.75">
      <c r="D6">
        <v>3</v>
      </c>
      <c r="E6">
        <v>-9</v>
      </c>
      <c r="F6" t="s">
        <v>55</v>
      </c>
      <c r="J6" s="1"/>
    </row>
    <row r="7" spans="4:10" ht="12.75">
      <c r="D7">
        <v>4</v>
      </c>
      <c r="E7">
        <v>-8</v>
      </c>
      <c r="F7" t="s">
        <v>56</v>
      </c>
      <c r="J7" s="1"/>
    </row>
    <row r="8" spans="4:10" ht="12.75">
      <c r="D8">
        <v>5</v>
      </c>
      <c r="E8">
        <v>-7</v>
      </c>
      <c r="F8" t="s">
        <v>57</v>
      </c>
      <c r="J8" s="1"/>
    </row>
    <row r="9" spans="4:10" ht="12.75">
      <c r="D9">
        <v>6</v>
      </c>
      <c r="E9">
        <v>-6</v>
      </c>
      <c r="F9" t="s">
        <v>58</v>
      </c>
      <c r="J9" s="1"/>
    </row>
    <row r="10" spans="4:10" ht="12.75">
      <c r="D10">
        <v>7</v>
      </c>
      <c r="E10">
        <v>-5</v>
      </c>
      <c r="F10" t="s">
        <v>59</v>
      </c>
      <c r="J10" s="1"/>
    </row>
    <row r="11" spans="4:10" ht="12.75">
      <c r="D11">
        <v>8</v>
      </c>
      <c r="E11">
        <v>-4</v>
      </c>
      <c r="F11" t="s">
        <v>60</v>
      </c>
      <c r="J11" s="1"/>
    </row>
    <row r="12" spans="4:10" ht="12.75">
      <c r="D12">
        <v>9</v>
      </c>
      <c r="E12">
        <v>-3</v>
      </c>
      <c r="F12" t="s">
        <v>61</v>
      </c>
      <c r="J12" s="1"/>
    </row>
    <row r="13" spans="4:10" ht="12.75">
      <c r="D13">
        <v>10</v>
      </c>
      <c r="E13">
        <v>-2</v>
      </c>
      <c r="F13" t="s">
        <v>52</v>
      </c>
      <c r="J13" s="1"/>
    </row>
    <row r="14" spans="4:10" ht="12.75">
      <c r="D14">
        <v>11</v>
      </c>
      <c r="E14">
        <v>-1</v>
      </c>
      <c r="F14" t="s">
        <v>64</v>
      </c>
      <c r="J14" s="1"/>
    </row>
    <row r="15" spans="4:10" ht="12.75">
      <c r="D15">
        <v>12</v>
      </c>
      <c r="E15">
        <v>0</v>
      </c>
      <c r="F15" t="s">
        <v>42</v>
      </c>
      <c r="J15" s="1"/>
    </row>
    <row r="16" spans="4:10" ht="12.75">
      <c r="D16">
        <v>13</v>
      </c>
      <c r="E16">
        <v>1</v>
      </c>
      <c r="F16" t="s">
        <v>124</v>
      </c>
      <c r="J16" s="1"/>
    </row>
    <row r="17" spans="4:10" ht="12.75">
      <c r="D17">
        <v>14</v>
      </c>
      <c r="E17">
        <v>2</v>
      </c>
      <c r="F17" t="s">
        <v>127</v>
      </c>
      <c r="J17" s="1"/>
    </row>
    <row r="18" spans="4:10" ht="12.75">
      <c r="D18">
        <v>15</v>
      </c>
      <c r="E18">
        <v>3</v>
      </c>
      <c r="F18" t="s">
        <v>43</v>
      </c>
      <c r="J18" s="1"/>
    </row>
    <row r="19" spans="4:10" ht="12.75">
      <c r="D19">
        <v>16</v>
      </c>
      <c r="E19">
        <v>4</v>
      </c>
      <c r="F19" t="s">
        <v>44</v>
      </c>
      <c r="J19" s="1"/>
    </row>
    <row r="20" spans="4:10" ht="12.75">
      <c r="D20">
        <v>17</v>
      </c>
      <c r="E20">
        <v>5</v>
      </c>
      <c r="F20" t="s">
        <v>45</v>
      </c>
      <c r="J20" s="1"/>
    </row>
    <row r="21" spans="4:10" ht="12.75">
      <c r="D21">
        <v>18</v>
      </c>
      <c r="E21">
        <v>6</v>
      </c>
      <c r="F21" t="s">
        <v>46</v>
      </c>
      <c r="J21" s="1"/>
    </row>
    <row r="22" spans="4:10" ht="12.75">
      <c r="D22">
        <v>19</v>
      </c>
      <c r="E22">
        <v>7</v>
      </c>
      <c r="F22" t="s">
        <v>47</v>
      </c>
      <c r="J22" s="1"/>
    </row>
    <row r="23" spans="4:10" ht="12.75">
      <c r="D23">
        <v>20</v>
      </c>
      <c r="E23">
        <v>8</v>
      </c>
      <c r="F23" t="s">
        <v>48</v>
      </c>
      <c r="J23" s="1"/>
    </row>
    <row r="24" spans="4:10" ht="12.75">
      <c r="D24">
        <v>21</v>
      </c>
      <c r="E24">
        <v>9</v>
      </c>
      <c r="F24" t="s">
        <v>125</v>
      </c>
      <c r="J24" s="1"/>
    </row>
    <row r="25" spans="4:10" ht="12.75">
      <c r="D25">
        <v>22</v>
      </c>
      <c r="E25">
        <v>10</v>
      </c>
      <c r="F25" t="s">
        <v>49</v>
      </c>
      <c r="J25" s="1"/>
    </row>
    <row r="26" spans="4:10" ht="12.75">
      <c r="D26">
        <v>23</v>
      </c>
      <c r="E26">
        <v>11</v>
      </c>
      <c r="F26" t="s">
        <v>50</v>
      </c>
      <c r="J26" s="1"/>
    </row>
    <row r="27" spans="4:10" ht="12.75">
      <c r="D27">
        <v>24</v>
      </c>
      <c r="E27">
        <v>12</v>
      </c>
      <c r="F27" t="s">
        <v>51</v>
      </c>
      <c r="J27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Whitehead</Company>
  <HyperlinkBase>http://worldcup2002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Fifa World Cup 2002 - Score Chart</dc:title>
  <dc:subject/>
  <dc:creator>David Whitehead</dc:creator>
  <cp:keywords/>
  <dc:description>World Cup 2002 - Score Chart is based on the popular Euro 2000 Wallchart created by Adam Bowie - www.adambowie.co.uk (please check his site out)
Anyway hope you like it, http://jump.to/worldcup2002
djwhitehead@hotmail.com</dc:description>
  <cp:lastModifiedBy>Marc DANIEL</cp:lastModifiedBy>
  <cp:lastPrinted>2006-06-19T06:38:06Z</cp:lastPrinted>
  <dcterms:created xsi:type="dcterms:W3CDTF">2000-05-07T15:11:05Z</dcterms:created>
  <dcterms:modified xsi:type="dcterms:W3CDTF">2006-06-19T06:38:13Z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-231905798</vt:i4>
  </property>
  <property fmtid="{D5CDD505-2E9C-101B-9397-08002B2CF9AE}" pid="3" name="_EmailSubject">
    <vt:lpwstr/>
  </property>
  <property fmtid="{D5CDD505-2E9C-101B-9397-08002B2CF9AE}" pid="4" name="_AuthorEmail">
    <vt:lpwstr>cartier@anfr.fr</vt:lpwstr>
  </property>
  <property fmtid="{D5CDD505-2E9C-101B-9397-08002B2CF9AE}" pid="5" name="_AuthorEmailDisplayName">
    <vt:lpwstr>cartier</vt:lpwstr>
  </property>
  <property fmtid="{D5CDD505-2E9C-101B-9397-08002B2CF9AE}" pid="6" name="_PreviousAdHocReviewCycleID">
    <vt:i4>-1852246248</vt:i4>
  </property>
</Properties>
</file>